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L:\DAR\AIR3\APPS1\DAR-Web\!Public Site\Web Content Attachments\"/>
    </mc:Choice>
  </mc:AlternateContent>
  <xr:revisionPtr revIDLastSave="0" documentId="8_{2E5D55A9-E10E-4AD7-9544-27F09A5205D1}" xr6:coauthVersionLast="47" xr6:coauthVersionMax="47" xr10:uidLastSave="{00000000-0000-0000-0000-000000000000}"/>
  <bookViews>
    <workbookView xWindow="28680" yWindow="-120" windowWidth="19440" windowHeight="15000" activeTab="2" xr2:uid="{F5530FF7-EB4A-4801-8B30-E310F77E5BA4}"/>
  </bookViews>
  <sheets>
    <sheet name="Fuel Combustion Emissions" sheetId="1" r:id="rId1"/>
    <sheet name="Emission Factors" sheetId="3" r:id="rId2"/>
    <sheet name="MSW Landfills" sheetId="5" r:id="rId3"/>
    <sheet name="Landfill Cover Types" sheetId="6" r:id="rId4"/>
    <sheet name="list items (hide)" sheetId="4" state="hidden" r:id="rId5"/>
  </sheets>
  <definedNames>
    <definedName name="_xlnm._FilterDatabase" localSheetId="0" hidden="1">'Fuel Combustion Emissions'!$I$15:$I$16</definedName>
    <definedName name="DOC">'MSW Landfills'!$F$19</definedName>
    <definedName name="DOCF">'MSW Landfills'!$F$20</definedName>
    <definedName name="Emissions_Type">'list items (hide)'!$I$5:$I$6</definedName>
    <definedName name="F">'MSW Landfills'!$F$21</definedName>
    <definedName name="Fuel_Type">'list items (hide)'!$A$2:$A$36</definedName>
    <definedName name="k">'MSW Landfills'!$F$22</definedName>
    <definedName name="MCF">'MSW Landfills'!$F$18</definedName>
    <definedName name="OX">'MSW Landfills'!$F$23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7" i="5" l="1"/>
  <c r="F22" i="1"/>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H4" i="3"/>
  <c r="H5" i="3"/>
  <c r="H6" i="3"/>
  <c r="H7" i="3"/>
  <c r="H9" i="3"/>
  <c r="H10" i="3"/>
  <c r="H11" i="3"/>
  <c r="H12" i="3"/>
  <c r="H13" i="3"/>
  <c r="H14" i="3"/>
  <c r="H15" i="3"/>
  <c r="H16" i="3"/>
  <c r="H17" i="3"/>
  <c r="H18" i="3"/>
  <c r="H19" i="3"/>
  <c r="H20" i="3"/>
  <c r="H21" i="3"/>
  <c r="H22" i="3"/>
  <c r="H23" i="3"/>
  <c r="H24" i="3"/>
  <c r="H26" i="3"/>
  <c r="H28" i="3"/>
  <c r="H29" i="3"/>
  <c r="H30" i="3"/>
  <c r="H32" i="3"/>
  <c r="H33" i="3"/>
  <c r="H34" i="3"/>
  <c r="H35" i="3"/>
  <c r="H37" i="3"/>
  <c r="H38" i="3"/>
  <c r="H40" i="3"/>
  <c r="H41" i="3"/>
  <c r="H42" i="3"/>
  <c r="H43" i="3"/>
  <c r="H3" i="3"/>
  <c r="G4" i="3"/>
  <c r="G5" i="3"/>
  <c r="G6" i="3"/>
  <c r="G7" i="3"/>
  <c r="G9" i="3"/>
  <c r="G10" i="3"/>
  <c r="G11" i="3"/>
  <c r="G12" i="3"/>
  <c r="G13" i="3"/>
  <c r="G14" i="3"/>
  <c r="G15" i="3"/>
  <c r="G16" i="3"/>
  <c r="G17" i="3"/>
  <c r="G18" i="3"/>
  <c r="G19" i="3"/>
  <c r="G20" i="3"/>
  <c r="G21" i="3"/>
  <c r="G22" i="3"/>
  <c r="G23" i="3"/>
  <c r="G24" i="3"/>
  <c r="G26" i="3"/>
  <c r="G3" i="3"/>
  <c r="F17"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F18" i="1"/>
  <c r="F19" i="1"/>
  <c r="F20" i="1"/>
  <c r="F21" i="1"/>
  <c r="F23" i="1"/>
  <c r="F24" i="1"/>
  <c r="F25" i="1"/>
  <c r="F26" i="1"/>
  <c r="F27" i="1"/>
  <c r="F28" i="1"/>
  <c r="F29" i="1"/>
  <c r="F30" i="1"/>
  <c r="F31" i="1"/>
  <c r="F32" i="1"/>
  <c r="F33" i="1"/>
  <c r="F34" i="1"/>
  <c r="F35" i="1"/>
  <c r="F36" i="1"/>
  <c r="F37" i="1"/>
  <c r="F38" i="1"/>
  <c r="F39" i="1"/>
  <c r="F40" i="1"/>
  <c r="F41" i="1"/>
  <c r="F42" i="1"/>
  <c r="F43" i="1"/>
  <c r="F44" i="1"/>
  <c r="F45" i="1"/>
  <c r="F46" i="1"/>
  <c r="F47" i="1"/>
  <c r="D31" i="4"/>
  <c r="D32" i="4"/>
  <c r="D23" i="4"/>
  <c r="B38" i="3"/>
  <c r="B37" i="3"/>
  <c r="B28" i="3"/>
  <c r="B26" i="3"/>
  <c r="G36" i="1" l="1"/>
  <c r="G26" i="1"/>
  <c r="G38" i="1"/>
  <c r="G20" i="1"/>
  <c r="G47" i="1"/>
  <c r="G23" i="1"/>
  <c r="G33" i="1"/>
  <c r="G41" i="1"/>
  <c r="G25" i="1"/>
  <c r="G34" i="1"/>
  <c r="G46" i="1"/>
  <c r="G31" i="1"/>
  <c r="G42" i="1"/>
  <c r="G28" i="1"/>
  <c r="G39" i="1"/>
  <c r="G44" i="1"/>
  <c r="G17" i="1"/>
  <c r="G30" i="1"/>
  <c r="G18" i="1"/>
  <c r="G22" i="1"/>
  <c r="C85" i="5"/>
  <c r="C88" i="5" s="1"/>
  <c r="C90" i="5" s="1"/>
  <c r="G40" i="1"/>
  <c r="G32" i="1"/>
  <c r="G24" i="1"/>
  <c r="G43" i="1"/>
  <c r="G35" i="1"/>
  <c r="G27" i="1"/>
  <c r="G19" i="1"/>
  <c r="G45" i="1"/>
  <c r="G37" i="1"/>
  <c r="G29" i="1"/>
  <c r="G21" i="1"/>
  <c r="G48" i="1" l="1"/>
</calcChain>
</file>

<file path=xl/sharedStrings.xml><?xml version="1.0" encoding="utf-8"?>
<sst xmlns="http://schemas.openxmlformats.org/spreadsheetml/2006/main" count="204" uniqueCount="133">
  <si>
    <t>GHG Estimation Tool</t>
  </si>
  <si>
    <t>Disclaimer:</t>
  </si>
  <si>
    <r>
      <rPr>
        <sz val="11"/>
        <color rgb="FF000000"/>
        <rFont val="Aptos Narrow"/>
        <family val="2"/>
      </rPr>
      <t xml:space="preserve">1. Note this tool may be used </t>
    </r>
    <r>
      <rPr>
        <b/>
        <sz val="11"/>
        <color rgb="FF000000"/>
        <rFont val="Aptos Narrow"/>
        <family val="2"/>
      </rPr>
      <t xml:space="preserve">for illustrative purposes ONLY and CANNOT </t>
    </r>
    <r>
      <rPr>
        <sz val="11"/>
        <color rgb="FF000000"/>
        <rFont val="Aptos Narrow"/>
        <family val="2"/>
      </rPr>
      <t>be used as a final or legally binding determination of an entity's obligation to report under the Mandatory Greenhouse Gas Reporting Rule (6 NYCRR Part 253).</t>
    </r>
  </si>
  <si>
    <t>2. Note this estiamtion tool only estimates GHG emissions from fuel combustion activites and GHG emissions from upstream out-of-state. This does inlcude GHG emissions from processes, but Reporting Entities will be required to report process emissions.</t>
  </si>
  <si>
    <r>
      <t>3. The applicability threshold for owners and operators of facilities is 10,000 metric tons or more of CO</t>
    </r>
    <r>
      <rPr>
        <vertAlign val="subscript"/>
        <sz val="11"/>
        <color theme="1"/>
        <rFont val="Aptos Narrow"/>
        <family val="2"/>
        <scheme val="minor"/>
      </rPr>
      <t>2</t>
    </r>
    <r>
      <rPr>
        <sz val="11"/>
        <color theme="1"/>
        <rFont val="Aptos Narrow"/>
        <family val="2"/>
        <scheme val="minor"/>
      </rPr>
      <t xml:space="preserve">e emissions per year, or a facility with budget unit(s) pursuant to Part 242 of this Title, however other reporting entities will have different thresholds. For a complete understanding of reporting thresholds refer to Part 253. </t>
    </r>
  </si>
  <si>
    <t>Instructions:</t>
  </si>
  <si>
    <t xml:space="preserve">1. Enter the fuel type in the first column of the table below. The fuel option should appear in a dropdown menu.  </t>
  </si>
  <si>
    <t>2. Enter the quantity of fuel. Use gallons for liquid fuel, short tons for solid fuel, and scf for gaseous fuel.</t>
  </si>
  <si>
    <t xml:space="preserve">3. In the fuel source enter if the fuel was produced inside of NY. Only select this option if you are sure of the origin of the fuel (ex. Landfills burning landfill gas on site) </t>
  </si>
  <si>
    <t>External Links:</t>
  </si>
  <si>
    <t>6 NYCRR Part 253 Resources:</t>
  </si>
  <si>
    <t>(insert link to Part 253 webpage/FAQ/Fact Sheet)</t>
  </si>
  <si>
    <t>Fuel Type</t>
  </si>
  <si>
    <t xml:space="preserve">Fuel Qty </t>
  </si>
  <si>
    <t>Units</t>
  </si>
  <si>
    <t>Fuel Source</t>
  </si>
  <si>
    <r>
      <rPr>
        <b/>
        <sz val="11"/>
        <color rgb="FF000000"/>
        <rFont val="Aptos Narrow"/>
        <scheme val="minor"/>
      </rPr>
      <t>EF (KgCO</t>
    </r>
    <r>
      <rPr>
        <vertAlign val="subscript"/>
        <sz val="11"/>
        <color rgb="FF000000"/>
        <rFont val="Aptos Narrow"/>
        <scheme val="minor"/>
      </rPr>
      <t>2</t>
    </r>
    <r>
      <rPr>
        <sz val="11"/>
        <color rgb="FF000000"/>
        <rFont val="Aptos Narrow"/>
        <scheme val="minor"/>
      </rPr>
      <t>e/mmbtu)</t>
    </r>
  </si>
  <si>
    <t>HHV (mmbtu/fuel unit)</t>
  </si>
  <si>
    <r>
      <t>Emissions CO</t>
    </r>
    <r>
      <rPr>
        <vertAlign val="subscript"/>
        <sz val="11"/>
        <color rgb="FF000000"/>
        <rFont val="Aptos Narrow"/>
        <family val="2"/>
        <scheme val="minor"/>
      </rPr>
      <t>2</t>
    </r>
    <r>
      <rPr>
        <sz val="11"/>
        <color rgb="FF000000"/>
        <rFont val="Aptos Narrow"/>
        <family val="2"/>
        <scheme val="minor"/>
      </rPr>
      <t>e (Mt)</t>
    </r>
  </si>
  <si>
    <r>
      <t>Total (Mtons CO</t>
    </r>
    <r>
      <rPr>
        <vertAlign val="subscript"/>
        <sz val="11"/>
        <color theme="1"/>
        <rFont val="Aptos Narrow"/>
        <family val="2"/>
        <scheme val="minor"/>
      </rPr>
      <t>2</t>
    </r>
    <r>
      <rPr>
        <sz val="11"/>
        <color theme="1"/>
        <rFont val="Aptos Narrow"/>
        <family val="2"/>
        <scheme val="minor"/>
      </rPr>
      <t>e)</t>
    </r>
  </si>
  <si>
    <t>If you need additional rows please select the bottom row of the table and drag it down or insert rows within the table.</t>
  </si>
  <si>
    <t>Fuel type</t>
  </si>
  <si>
    <t>HHV</t>
  </si>
  <si>
    <t>CO2 EF (kgCO2/mmbtu)</t>
  </si>
  <si>
    <t>CH4 EF (gCH4/mmbtu)</t>
  </si>
  <si>
    <t>N2O EF (gN2O/mmbtu)</t>
  </si>
  <si>
    <t>Upstream out of state EF (CO2e)</t>
  </si>
  <si>
    <t>Combined EF (CO2e)</t>
  </si>
  <si>
    <t>Combined EF for NY sourced fuel (CO2e)</t>
  </si>
  <si>
    <t>Coal and Coke</t>
  </si>
  <si>
    <t>mmbtu/short ton*</t>
  </si>
  <si>
    <t>Anthracite</t>
  </si>
  <si>
    <t>Bituminous</t>
  </si>
  <si>
    <t>Subbituminous</t>
  </si>
  <si>
    <t>Lignite</t>
  </si>
  <si>
    <t>Coal Coke</t>
  </si>
  <si>
    <t>Petroleum fuels</t>
  </si>
  <si>
    <t>(mmbtu/gallon)**</t>
  </si>
  <si>
    <t>Distillate Fuel Oil No. 1</t>
  </si>
  <si>
    <t>Distillate Fuel Oil No. 2</t>
  </si>
  <si>
    <t>Distillate Fuel Oil No. 4</t>
  </si>
  <si>
    <t>Kerosene</t>
  </si>
  <si>
    <t>Liquefied petroleum gases (LPG) *** or Propane</t>
  </si>
  <si>
    <t>Propylene</t>
  </si>
  <si>
    <t>Ethane</t>
  </si>
  <si>
    <t>Ethylene</t>
  </si>
  <si>
    <t>Isobutane</t>
  </si>
  <si>
    <t>Isobutylene</t>
  </si>
  <si>
    <t>Butane</t>
  </si>
  <si>
    <t>Butylene</t>
  </si>
  <si>
    <t>Natural Gasoline</t>
  </si>
  <si>
    <t>Motor Gasoline (finished)</t>
  </si>
  <si>
    <t>Aviation Gasoline</t>
  </si>
  <si>
    <t>Kerosene-Type Jet Fuel</t>
  </si>
  <si>
    <t>Natural Gas</t>
  </si>
  <si>
    <t>mmbtu/scf*</t>
  </si>
  <si>
    <t>avg for pipeline NG</t>
  </si>
  <si>
    <t>Other fuels-solid</t>
  </si>
  <si>
    <t>mmBtu/short ton*</t>
  </si>
  <si>
    <t>Municipal Solid Waste</t>
  </si>
  <si>
    <t>Tires</t>
  </si>
  <si>
    <t>Plastics</t>
  </si>
  <si>
    <t>Biomass fuels (solid)</t>
  </si>
  <si>
    <t>wood and wood residuals</t>
  </si>
  <si>
    <t>Agricultural Byproducts</t>
  </si>
  <si>
    <t>Peat</t>
  </si>
  <si>
    <t>Solid byproducts</t>
  </si>
  <si>
    <t>Biomass fuels—gaseous</t>
  </si>
  <si>
    <t>mmBtu/scf*</t>
  </si>
  <si>
    <t>Landfill Gas</t>
  </si>
  <si>
    <t>Other Biomass Gases</t>
  </si>
  <si>
    <t>Biomass Fuels—Liquid</t>
  </si>
  <si>
    <t>mmBtu/gallon*</t>
  </si>
  <si>
    <t>Ethanol</t>
  </si>
  <si>
    <t>Biodiesel (100%)</t>
  </si>
  <si>
    <t>Rendered Animal Fat</t>
  </si>
  <si>
    <t>Vegetable Oil</t>
  </si>
  <si>
    <t>*These default HHV values cannot be used for reporting under 253 only for estimation purposes (taken from Part 98 Table C-1) not included in Part 253</t>
  </si>
  <si>
    <t>black boxed values from Table C1 and C2 in part 98</t>
  </si>
  <si>
    <t>2. This tool is designed only to estimate methane emissions in an MSW landfill based on waste disposal. It does not account for captured emissions that are flared or combusted for energy. Those emissions must be calculated separately (see the fuel combustion emissions sheet).</t>
  </si>
  <si>
    <t xml:space="preserve">1. Enter the quantity of waste disposed based on records. Waste Quantity should be entered in metric tons of wet waste (as received) </t>
  </si>
  <si>
    <t xml:space="preserve">2. Select the type of cover material from the dropdown menu. Descriptions for each cover type can be found in the Landfill Cover Types tab. </t>
  </si>
  <si>
    <t xml:space="preserve">3. Enter the amount of CH4 collected in any gas collection systems. This should be entered as the mass of CH4 only not the total mass of landfill gas. </t>
  </si>
  <si>
    <t>If the amount of waste is unknown for a given year use EPA Part 98 equation HH-2 to estimate waste.</t>
  </si>
  <si>
    <r>
      <t>W</t>
    </r>
    <r>
      <rPr>
        <vertAlign val="subscript"/>
        <sz val="11"/>
        <color theme="1"/>
        <rFont val="Aptos Narrow"/>
        <family val="2"/>
        <scheme val="minor"/>
      </rPr>
      <t>X</t>
    </r>
    <r>
      <rPr>
        <sz val="11"/>
        <color theme="1"/>
        <rFont val="Aptos Narrow"/>
        <family val="2"/>
        <scheme val="minor"/>
      </rPr>
      <t xml:space="preserve"> = Quantity of waste placed in the landfill in year x (metric tons, wet basis).</t>
    </r>
  </si>
  <si>
    <r>
      <t>POP</t>
    </r>
    <r>
      <rPr>
        <vertAlign val="subscript"/>
        <sz val="11"/>
        <color theme="1"/>
        <rFont val="Aptos Narrow"/>
        <family val="2"/>
        <scheme val="minor"/>
      </rPr>
      <t>X</t>
    </r>
    <r>
      <rPr>
        <sz val="11"/>
        <color theme="1"/>
        <rFont val="Aptos Narrow"/>
        <family val="2"/>
        <scheme val="minor"/>
      </rPr>
      <t xml:space="preserve"> = Population served by the landfill in year x from city population, census data, or other estimates (capita).</t>
    </r>
  </si>
  <si>
    <t>WDRX = Average per capita waste disposal rate for year x from Table HH-2 to this subpart (metric tons per capita per year, wet basis; tons/cap/yr).</t>
  </si>
  <si>
    <t>Year</t>
  </si>
  <si>
    <t>Quantity of waste disposed, wet waste/ as received (Metric Tons)</t>
  </si>
  <si>
    <t>GCH4</t>
  </si>
  <si>
    <t>MCF</t>
  </si>
  <si>
    <t>DOC</t>
  </si>
  <si>
    <t>DOCF</t>
  </si>
  <si>
    <t>F</t>
  </si>
  <si>
    <t>k</t>
  </si>
  <si>
    <t>Mtons CH4 gen</t>
  </si>
  <si>
    <t>select type of landfill cover</t>
  </si>
  <si>
    <t>OX</t>
  </si>
  <si>
    <t>MG</t>
  </si>
  <si>
    <t xml:space="preserve">Mtons CH4 gen with ox </t>
  </si>
  <si>
    <t>CH4 captured</t>
  </si>
  <si>
    <t>Mtons CH4 captured from GCCS</t>
  </si>
  <si>
    <t>total emissions*</t>
  </si>
  <si>
    <t xml:space="preserve">Mtons CO2e </t>
  </si>
  <si>
    <t xml:space="preserve">*emissions from combustion of landfill gas in onsite engines or offsite landfill gas to energy plants need to be calculated seperately </t>
  </si>
  <si>
    <t>cover type abrv</t>
  </si>
  <si>
    <t>Type of landfill cover</t>
  </si>
  <si>
    <t>oxidation factor</t>
  </si>
  <si>
    <t xml:space="preserve">C2 </t>
  </si>
  <si>
    <t>C2: For landfills that have a geomembrane (synthetic) cover or other non-soil barrier meeting the definition of final cover with less than 12 inches of cover soil for greater than 50% of the landfill area containing waste</t>
  </si>
  <si>
    <t>C3</t>
  </si>
  <si>
    <t>C3: For landfills that do not meet the conditions in C2 above and for which you elect not to determine methane flux</t>
  </si>
  <si>
    <t>C4</t>
  </si>
  <si>
    <t>C4: For landfills that do not meet the conditions in C2 or C3 above and that do not have final cover, or intermediate or interim covera for greater than 50% of the landfill area containing waste</t>
  </si>
  <si>
    <t>C5</t>
  </si>
  <si>
    <t>C5: For landfills that do not meet the conditions in C2 or C3 above and that have final cover, or intermediate or interim covera for greater than 50% of the landfill area containing waste and for which the methane flux rateb is less than 10 grams per square meter per day (g/m2/d)</t>
  </si>
  <si>
    <t>C6</t>
  </si>
  <si>
    <t>C6: For landfills that do not meet the conditions in C2 or C3 above and that have final cover or intermediate or interim covera for greater than 50% of the landfill area containing waste and for which the methane flux rateb is 10 to 70 g/m2/d</t>
  </si>
  <si>
    <t>C7</t>
  </si>
  <si>
    <t>C7: For landfills that do not meet the conditions in C2 or C3 above and that have final cover or intermediate or interim covera for greater than 50% of the landfill area containing waste and for which the methane flux rateb is greater than 70 g/m2/d</t>
  </si>
  <si>
    <t>Out of State EF</t>
  </si>
  <si>
    <t>In State EF</t>
  </si>
  <si>
    <t>Anthracite (coal)</t>
  </si>
  <si>
    <t>short tons</t>
  </si>
  <si>
    <t>Bituminous (coal)</t>
  </si>
  <si>
    <t>Subbituminous (coal)</t>
  </si>
  <si>
    <t>Emissions Type</t>
  </si>
  <si>
    <t>Lignite (coal)</t>
  </si>
  <si>
    <t>In State</t>
  </si>
  <si>
    <t>Out of State</t>
  </si>
  <si>
    <t>gallons</t>
  </si>
  <si>
    <t>scf</t>
  </si>
  <si>
    <t>MSW Landfill Methane Generation Estimator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</si>
</sst>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1"/>
      <color theme="1"/>
      <name val="Aptos Narrow"/>
      <family val="2"/>
      <scheme val="minor"/>
    </font>
    <font>
      <b/>
      <sz val="14"/>
      <color theme="1"/>
      <name val="Aptos Narrow"/>
      <family val="2"/>
      <scheme val="minor"/>
    </font>
    <font>
      <b/>
      <sz val="14"/>
      <color theme="9" tint="-0.499984740745262"/>
      <name val="Aptos Narrow"/>
      <family val="2"/>
      <scheme val="minor"/>
    </font>
    <font>
      <b/>
      <sz val="11"/>
      <color theme="1"/>
      <name val="Aptos Narrow"/>
      <family val="2"/>
      <scheme val="minor"/>
    </font>
    <font>
      <sz val="11"/>
      <color theme="0"/>
      <name val="Aptos Narrow"/>
      <family val="2"/>
      <scheme val="minor"/>
    </font>
    <font>
      <sz val="11"/>
      <color rgb="FF000000"/>
      <name val="Aptos Narrow"/>
      <family val="2"/>
    </font>
    <font>
      <b/>
      <sz val="11"/>
      <color rgb="FF000000"/>
      <name val="Aptos Narrow"/>
      <family val="2"/>
    </font>
    <font>
      <b/>
      <sz val="20"/>
      <color theme="0"/>
      <name val="Aptos Narrow"/>
      <family val="2"/>
      <scheme val="minor"/>
    </font>
    <font>
      <sz val="20"/>
      <color theme="0"/>
      <name val="Aptos Narrow"/>
      <family val="2"/>
      <scheme val="minor"/>
    </font>
    <font>
      <b/>
      <sz val="11"/>
      <color theme="0"/>
      <name val="Aptos Narrow"/>
      <family val="2"/>
      <scheme val="minor"/>
    </font>
    <font>
      <sz val="11"/>
      <color rgb="FF000000"/>
      <name val="Aptos Narrow"/>
      <family val="2"/>
      <scheme val="minor"/>
    </font>
    <font>
      <vertAlign val="subscript"/>
      <sz val="11"/>
      <color theme="1"/>
      <name val="Aptos Narrow"/>
      <family val="2"/>
      <scheme val="minor"/>
    </font>
    <font>
      <vertAlign val="subscript"/>
      <sz val="11"/>
      <color rgb="FF000000"/>
      <name val="Aptos Narrow"/>
      <family val="2"/>
      <scheme val="minor"/>
    </font>
    <font>
      <sz val="11"/>
      <color theme="1"/>
      <name val="Aptos Narrow"/>
      <scheme val="minor"/>
    </font>
    <font>
      <b/>
      <sz val="11"/>
      <color rgb="FF000000"/>
      <name val="Aptos Narrow"/>
      <scheme val="minor"/>
    </font>
    <font>
      <vertAlign val="subscript"/>
      <sz val="11"/>
      <color rgb="FF000000"/>
      <name val="Aptos Narrow"/>
      <scheme val="minor"/>
    </font>
    <font>
      <sz val="11"/>
      <color rgb="FF000000"/>
      <name val="Aptos Narrow"/>
      <scheme val="minor"/>
    </font>
  </fonts>
  <fills count="8">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rgb="FF000000"/>
      </top>
      <bottom/>
      <diagonal/>
    </border>
    <border>
      <left/>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thin">
        <color rgb="FF000000"/>
      </bottom>
      <diagonal/>
    </border>
  </borders>
  <cellStyleXfs count="1">
    <xf numFmtId="0" fontId="0" fillId="0" borderId="0"/>
  </cellStyleXfs>
  <cellXfs count="144">
    <xf numFmtId="0" fontId="0" fillId="0" borderId="0" xfId="0"/>
    <xf numFmtId="0" fontId="0" fillId="0" borderId="3" xfId="0" applyBorder="1"/>
    <xf numFmtId="0" fontId="0" fillId="0" borderId="4" xfId="0" applyBorder="1"/>
    <xf numFmtId="0" fontId="0" fillId="0" borderId="5" xfId="0" applyBorder="1"/>
    <xf numFmtId="0" fontId="0" fillId="3" borderId="1" xfId="0" applyFill="1" applyBorder="1"/>
    <xf numFmtId="0" fontId="0" fillId="4" borderId="1" xfId="0" applyFill="1" applyBorder="1"/>
    <xf numFmtId="0" fontId="0" fillId="3" borderId="6" xfId="0" applyFill="1" applyBorder="1"/>
    <xf numFmtId="0" fontId="0" fillId="4" borderId="6" xfId="0" applyFill="1" applyBorder="1"/>
    <xf numFmtId="0" fontId="0" fillId="4" borderId="8" xfId="0" applyFill="1" applyBorder="1"/>
    <xf numFmtId="0" fontId="0" fillId="3" borderId="9" xfId="0" applyFill="1" applyBorder="1"/>
    <xf numFmtId="0" fontId="0" fillId="3" borderId="10" xfId="0" applyFill="1" applyBorder="1"/>
    <xf numFmtId="0" fontId="0" fillId="3" borderId="11" xfId="0" applyFill="1" applyBorder="1"/>
    <xf numFmtId="0" fontId="0" fillId="4" borderId="12" xfId="0" applyFill="1" applyBorder="1"/>
    <xf numFmtId="0" fontId="0" fillId="4" borderId="13" xfId="0" applyFill="1" applyBorder="1"/>
    <xf numFmtId="0" fontId="0" fillId="3" borderId="12" xfId="0" applyFill="1" applyBorder="1"/>
    <xf numFmtId="0" fontId="0" fillId="3" borderId="13" xfId="0" applyFill="1" applyBorder="1"/>
    <xf numFmtId="0" fontId="0" fillId="4" borderId="14" xfId="0" applyFill="1" applyBorder="1"/>
    <xf numFmtId="0" fontId="0" fillId="4" borderId="15" xfId="0" applyFill="1" applyBorder="1"/>
    <xf numFmtId="0" fontId="0" fillId="4" borderId="16" xfId="0" applyFill="1" applyBorder="1"/>
    <xf numFmtId="0" fontId="0" fillId="0" borderId="0" xfId="0" applyAlignment="1">
      <alignment wrapText="1"/>
    </xf>
    <xf numFmtId="0" fontId="0" fillId="0" borderId="0" xfId="0" applyBorder="1"/>
    <xf numFmtId="0" fontId="0" fillId="0" borderId="1" xfId="0" applyBorder="1" applyProtection="1"/>
    <xf numFmtId="0" fontId="0" fillId="0" borderId="7" xfId="0" applyBorder="1" applyProtection="1"/>
    <xf numFmtId="0" fontId="0" fillId="0" borderId="8" xfId="0" applyBorder="1" applyProtection="1"/>
    <xf numFmtId="0" fontId="0" fillId="0" borderId="2" xfId="0" applyBorder="1" applyProtection="1"/>
    <xf numFmtId="0" fontId="0" fillId="0" borderId="1" xfId="0" applyBorder="1" applyProtection="1">
      <protection locked="0"/>
    </xf>
    <xf numFmtId="0" fontId="0" fillId="0" borderId="8" xfId="0" applyBorder="1" applyProtection="1">
      <protection locked="0"/>
    </xf>
    <xf numFmtId="43" fontId="0" fillId="0" borderId="0" xfId="0" applyNumberFormat="1"/>
    <xf numFmtId="0" fontId="0" fillId="0" borderId="0" xfId="0" applyAlignment="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pplyBorder="1"/>
    <xf numFmtId="0" fontId="2" fillId="0" borderId="0" xfId="0" applyFont="1" applyBorder="1" applyAlignment="1"/>
    <xf numFmtId="0" fontId="1" fillId="0" borderId="0" xfId="0" applyFont="1" applyBorder="1"/>
    <xf numFmtId="0" fontId="0" fillId="0" borderId="0" xfId="0" applyBorder="1" applyProtection="1"/>
    <xf numFmtId="0" fontId="0" fillId="5" borderId="0" xfId="0" applyFill="1" applyBorder="1" applyProtection="1"/>
    <xf numFmtId="0" fontId="0" fillId="0" borderId="19" xfId="0" applyBorder="1"/>
    <xf numFmtId="43" fontId="0" fillId="5" borderId="20" xfId="0" applyNumberFormat="1" applyFill="1" applyBorder="1" applyProtection="1"/>
    <xf numFmtId="0" fontId="0" fillId="0" borderId="21" xfId="0" applyBorder="1"/>
    <xf numFmtId="0" fontId="0" fillId="0" borderId="22" xfId="0" applyBorder="1"/>
    <xf numFmtId="0" fontId="0" fillId="0" borderId="23" xfId="0" applyBorder="1"/>
    <xf numFmtId="0" fontId="2" fillId="0" borderId="20" xfId="0" applyFont="1" applyBorder="1" applyAlignment="1"/>
    <xf numFmtId="0" fontId="0" fillId="0" borderId="20" xfId="0" applyBorder="1"/>
    <xf numFmtId="0" fontId="3" fillId="4" borderId="27" xfId="0" applyFont="1" applyFill="1" applyBorder="1"/>
    <xf numFmtId="0" fontId="2" fillId="4" borderId="17" xfId="0" applyFont="1" applyFill="1" applyBorder="1"/>
    <xf numFmtId="0" fontId="0" fillId="4" borderId="17" xfId="0" applyFill="1" applyBorder="1"/>
    <xf numFmtId="0" fontId="0" fillId="4" borderId="28" xfId="0" applyFill="1" applyBorder="1"/>
    <xf numFmtId="0" fontId="1" fillId="4" borderId="17" xfId="0" applyFont="1" applyFill="1" applyBorder="1"/>
    <xf numFmtId="0" fontId="0" fillId="0" borderId="6" xfId="0" applyBorder="1" applyProtection="1">
      <protection locked="0"/>
    </xf>
    <xf numFmtId="43" fontId="0" fillId="0" borderId="7" xfId="0" applyNumberFormat="1" applyBorder="1" applyProtection="1"/>
    <xf numFmtId="0" fontId="0" fillId="0" borderId="31" xfId="0" applyBorder="1" applyProtection="1">
      <protection locked="0"/>
    </xf>
    <xf numFmtId="43" fontId="0" fillId="0" borderId="2" xfId="0" applyNumberFormat="1" applyBorder="1" applyProtection="1"/>
    <xf numFmtId="0" fontId="0" fillId="0" borderId="35" xfId="0" applyBorder="1"/>
    <xf numFmtId="0" fontId="4" fillId="6" borderId="9" xfId="0" applyFont="1" applyFill="1" applyBorder="1"/>
    <xf numFmtId="0" fontId="0" fillId="4" borderId="11" xfId="0" applyFill="1" applyBorder="1"/>
    <xf numFmtId="0" fontId="4" fillId="6" borderId="12" xfId="0" applyFont="1" applyFill="1" applyBorder="1"/>
    <xf numFmtId="0" fontId="4" fillId="6" borderId="14" xfId="0" applyFont="1" applyFill="1" applyBorder="1"/>
    <xf numFmtId="0" fontId="0" fillId="0" borderId="0" xfId="0" applyBorder="1" applyAlignment="1">
      <alignment wrapText="1"/>
    </xf>
    <xf numFmtId="0" fontId="0" fillId="0" borderId="35" xfId="0" applyBorder="1" applyAlignment="1">
      <alignment wrapText="1"/>
    </xf>
    <xf numFmtId="0" fontId="0" fillId="5" borderId="0" xfId="0" applyFill="1" applyBorder="1"/>
    <xf numFmtId="0" fontId="0" fillId="0" borderId="0" xfId="0" applyAlignment="1">
      <alignment horizontal="left"/>
    </xf>
    <xf numFmtId="0" fontId="3" fillId="4" borderId="2" xfId="0" applyFont="1" applyFill="1" applyBorder="1"/>
    <xf numFmtId="0" fontId="0" fillId="4" borderId="37" xfId="0" applyFill="1" applyBorder="1"/>
    <xf numFmtId="0" fontId="0" fillId="4" borderId="31" xfId="0" applyFill="1" applyBorder="1"/>
    <xf numFmtId="0" fontId="0" fillId="4" borderId="33" xfId="0" applyFill="1" applyBorder="1"/>
    <xf numFmtId="0" fontId="9" fillId="6" borderId="1" xfId="0" applyFont="1" applyFill="1" applyBorder="1" applyAlignment="1">
      <alignment wrapText="1"/>
    </xf>
    <xf numFmtId="0" fontId="3" fillId="4" borderId="42" xfId="0" applyFont="1" applyFill="1" applyBorder="1"/>
    <xf numFmtId="0" fontId="2" fillId="4" borderId="37" xfId="0" applyFont="1" applyFill="1" applyBorder="1"/>
    <xf numFmtId="0" fontId="0" fillId="4" borderId="43" xfId="0" applyFill="1" applyBorder="1"/>
    <xf numFmtId="0" fontId="0" fillId="4" borderId="7" xfId="0" applyFill="1" applyBorder="1"/>
    <xf numFmtId="0" fontId="4" fillId="6" borderId="34" xfId="0" applyFont="1" applyFill="1" applyBorder="1" applyAlignment="1">
      <alignment wrapText="1"/>
    </xf>
    <xf numFmtId="0" fontId="4" fillId="6" borderId="32" xfId="0" applyFont="1" applyFill="1" applyBorder="1" applyAlignment="1">
      <alignment wrapText="1"/>
    </xf>
    <xf numFmtId="0" fontId="0" fillId="4" borderId="2" xfId="0" applyFill="1" applyBorder="1"/>
    <xf numFmtId="0" fontId="0" fillId="0" borderId="3" xfId="0" applyFill="1" applyBorder="1"/>
    <xf numFmtId="0" fontId="0" fillId="0" borderId="0" xfId="0" applyFill="1" applyBorder="1"/>
    <xf numFmtId="0" fontId="0" fillId="0" borderId="35" xfId="0" applyFill="1" applyBorder="1"/>
    <xf numFmtId="0" fontId="4" fillId="0" borderId="0" xfId="0" applyFont="1" applyFill="1" applyBorder="1"/>
    <xf numFmtId="0" fontId="0" fillId="4" borderId="38" xfId="0" applyFill="1" applyBorder="1"/>
    <xf numFmtId="0" fontId="5" fillId="4" borderId="37" xfId="0" applyFont="1" applyFill="1" applyBorder="1" applyAlignment="1">
      <alignment horizontal="left" wrapText="1"/>
    </xf>
    <xf numFmtId="0" fontId="5" fillId="4" borderId="43" xfId="0" applyFont="1" applyFill="1" applyBorder="1" applyAlignment="1">
      <alignment horizontal="left" wrapText="1"/>
    </xf>
    <xf numFmtId="0" fontId="0" fillId="4" borderId="45" xfId="0" applyFill="1" applyBorder="1" applyAlignment="1">
      <alignment horizontal="left" wrapText="1"/>
    </xf>
    <xf numFmtId="0" fontId="10" fillId="2" borderId="33" xfId="0" applyFont="1" applyFill="1" applyBorder="1" applyAlignment="1">
      <alignment horizontal="center"/>
    </xf>
    <xf numFmtId="0" fontId="10" fillId="2" borderId="34" xfId="0" applyFont="1" applyFill="1" applyBorder="1" applyAlignment="1">
      <alignment horizontal="center"/>
    </xf>
    <xf numFmtId="0" fontId="10" fillId="2" borderId="32" xfId="0" applyFont="1" applyFill="1" applyBorder="1" applyAlignment="1">
      <alignment horizontal="center" wrapText="1"/>
    </xf>
    <xf numFmtId="43" fontId="10" fillId="2" borderId="32" xfId="0" applyNumberFormat="1" applyFont="1" applyFill="1" applyBorder="1" applyAlignment="1">
      <alignment horizontal="center"/>
    </xf>
    <xf numFmtId="0" fontId="5" fillId="0" borderId="0" xfId="0" applyFont="1" applyFill="1" applyBorder="1" applyAlignment="1">
      <alignment horizontal="left" wrapText="1"/>
    </xf>
    <xf numFmtId="0" fontId="5" fillId="0" borderId="35" xfId="0" applyFont="1" applyFill="1" applyBorder="1" applyAlignment="1">
      <alignment horizontal="left" wrapText="1"/>
    </xf>
    <xf numFmtId="0" fontId="0" fillId="4" borderId="0" xfId="0" applyFill="1" applyBorder="1" applyAlignment="1">
      <alignment horizontal="left" wrapText="1"/>
    </xf>
    <xf numFmtId="0" fontId="0" fillId="4" borderId="35" xfId="0" applyFill="1" applyBorder="1" applyAlignment="1">
      <alignment horizontal="left" wrapText="1"/>
    </xf>
    <xf numFmtId="0" fontId="0" fillId="4" borderId="3" xfId="0" applyFill="1" applyBorder="1" applyAlignment="1">
      <alignment horizontal="left" wrapText="1"/>
    </xf>
    <xf numFmtId="0" fontId="0" fillId="7" borderId="3" xfId="0" applyFill="1" applyBorder="1" applyAlignment="1">
      <alignment horizontal="left" wrapText="1"/>
    </xf>
    <xf numFmtId="0" fontId="0" fillId="7" borderId="0" xfId="0" applyFill="1" applyBorder="1" applyAlignment="1">
      <alignment horizontal="left" wrapText="1"/>
    </xf>
    <xf numFmtId="0" fontId="5" fillId="7" borderId="3" xfId="0" applyFont="1" applyFill="1" applyBorder="1" applyAlignment="1">
      <alignment horizontal="left" wrapText="1"/>
    </xf>
    <xf numFmtId="0" fontId="5" fillId="7" borderId="0" xfId="0" applyFont="1" applyFill="1" applyBorder="1" applyAlignment="1">
      <alignment horizontal="left" wrapText="1"/>
    </xf>
    <xf numFmtId="0" fontId="5" fillId="7" borderId="35" xfId="0" applyFont="1" applyFill="1" applyBorder="1" applyAlignment="1">
      <alignment horizontal="left" wrapText="1"/>
    </xf>
    <xf numFmtId="0" fontId="0" fillId="7" borderId="18" xfId="0" applyFill="1" applyBorder="1" applyAlignment="1">
      <alignment horizontal="left" wrapText="1"/>
    </xf>
    <xf numFmtId="0" fontId="0" fillId="7" borderId="46" xfId="0" applyFill="1" applyBorder="1" applyAlignment="1">
      <alignment horizontal="left" wrapText="1"/>
    </xf>
    <xf numFmtId="0" fontId="13" fillId="6" borderId="0" xfId="0" applyFont="1" applyFill="1"/>
    <xf numFmtId="0" fontId="5" fillId="4" borderId="0" xfId="0" applyFont="1" applyFill="1" applyBorder="1" applyAlignment="1">
      <alignment horizontal="left" wrapText="1"/>
    </xf>
    <xf numFmtId="0" fontId="0" fillId="4" borderId="0" xfId="0" applyFill="1" applyBorder="1"/>
    <xf numFmtId="0" fontId="0" fillId="0" borderId="0" xfId="0" applyFill="1"/>
    <xf numFmtId="0" fontId="16" fillId="2" borderId="34" xfId="0" applyFont="1" applyFill="1" applyBorder="1" applyAlignment="1">
      <alignment horizontal="center" wrapText="1"/>
    </xf>
    <xf numFmtId="0" fontId="0" fillId="4" borderId="1" xfId="0" applyFill="1" applyBorder="1" applyProtection="1">
      <protection locked="0"/>
    </xf>
    <xf numFmtId="0" fontId="0" fillId="4" borderId="8" xfId="0" applyFill="1" applyBorder="1" applyProtection="1">
      <protection locked="0"/>
    </xf>
    <xf numFmtId="0" fontId="0" fillId="0" borderId="0" xfId="0" applyFill="1" applyBorder="1" applyAlignment="1" applyProtection="1">
      <alignment horizontal="right"/>
      <protection locked="0"/>
    </xf>
    <xf numFmtId="0" fontId="0" fillId="0" borderId="0" xfId="0" applyFill="1" applyBorder="1" applyProtection="1">
      <protection locked="0"/>
    </xf>
    <xf numFmtId="0" fontId="7" fillId="6" borderId="24" xfId="0" applyFont="1" applyFill="1" applyBorder="1" applyAlignment="1">
      <alignment horizontal="center" vertical="center"/>
    </xf>
    <xf numFmtId="0" fontId="7" fillId="6" borderId="25" xfId="0" applyFont="1" applyFill="1" applyBorder="1" applyAlignment="1">
      <alignment horizontal="center" vertical="center"/>
    </xf>
    <xf numFmtId="0" fontId="7" fillId="6" borderId="26" xfId="0" applyFont="1" applyFill="1" applyBorder="1" applyAlignment="1">
      <alignment horizontal="center" vertical="center"/>
    </xf>
    <xf numFmtId="0" fontId="0" fillId="4" borderId="32" xfId="0" applyFill="1" applyBorder="1" applyAlignment="1"/>
    <xf numFmtId="0" fontId="0" fillId="4" borderId="38" xfId="0" applyFill="1" applyBorder="1" applyAlignment="1"/>
    <xf numFmtId="0" fontId="0" fillId="4" borderId="29" xfId="0" applyFill="1" applyBorder="1" applyAlignment="1">
      <alignment horizontal="left" wrapText="1"/>
    </xf>
    <xf numFmtId="0" fontId="0" fillId="4" borderId="18" xfId="0" applyFill="1" applyBorder="1" applyAlignment="1">
      <alignment horizontal="left" wrapText="1"/>
    </xf>
    <xf numFmtId="0" fontId="0" fillId="4" borderId="30" xfId="0" applyFill="1" applyBorder="1" applyAlignment="1">
      <alignment horizontal="left" wrapText="1"/>
    </xf>
    <xf numFmtId="0" fontId="0" fillId="4" borderId="19" xfId="0" applyFill="1" applyBorder="1" applyAlignment="1">
      <alignment horizontal="left"/>
    </xf>
    <xf numFmtId="0" fontId="0" fillId="4" borderId="0" xfId="0" applyFill="1" applyBorder="1" applyAlignment="1">
      <alignment horizontal="left"/>
    </xf>
    <xf numFmtId="0" fontId="0" fillId="4" borderId="20" xfId="0" applyFill="1" applyBorder="1" applyAlignment="1">
      <alignment horizontal="left"/>
    </xf>
    <xf numFmtId="0" fontId="5" fillId="4" borderId="19" xfId="0" applyFont="1" applyFill="1" applyBorder="1" applyAlignment="1">
      <alignment horizontal="left" wrapText="1"/>
    </xf>
    <xf numFmtId="0" fontId="0" fillId="4" borderId="0" xfId="0" applyFill="1" applyBorder="1" applyAlignment="1">
      <alignment horizontal="left" wrapText="1"/>
    </xf>
    <xf numFmtId="0" fontId="0" fillId="4" borderId="20" xfId="0" applyFill="1" applyBorder="1" applyAlignment="1">
      <alignment horizontal="left" wrapText="1"/>
    </xf>
    <xf numFmtId="0" fontId="0" fillId="4" borderId="19" xfId="0" applyFill="1" applyBorder="1" applyAlignment="1">
      <alignment horizontal="left" wrapText="1"/>
    </xf>
    <xf numFmtId="0" fontId="0" fillId="0" borderId="4" xfId="0" applyBorder="1" applyAlignment="1">
      <alignment horizontal="center"/>
    </xf>
    <xf numFmtId="0" fontId="0" fillId="0" borderId="5" xfId="0" applyBorder="1" applyAlignment="1">
      <alignment horizontal="center"/>
    </xf>
    <xf numFmtId="0" fontId="0" fillId="0" borderId="36" xfId="0" applyBorder="1" applyAlignment="1">
      <alignment horizontal="center"/>
    </xf>
    <xf numFmtId="0" fontId="5" fillId="4" borderId="3" xfId="0" applyFont="1" applyFill="1" applyBorder="1" applyAlignment="1">
      <alignment horizontal="left" wrapText="1"/>
    </xf>
    <xf numFmtId="0" fontId="0" fillId="4" borderId="35" xfId="0" applyFill="1" applyBorder="1" applyAlignment="1">
      <alignment horizontal="left" wrapText="1"/>
    </xf>
    <xf numFmtId="0" fontId="5" fillId="4" borderId="44" xfId="0" applyFont="1" applyFill="1" applyBorder="1" applyAlignment="1">
      <alignment horizontal="left" wrapText="1"/>
    </xf>
    <xf numFmtId="0" fontId="5" fillId="4" borderId="38" xfId="0" applyFont="1" applyFill="1" applyBorder="1" applyAlignment="1">
      <alignment horizontal="left" wrapText="1"/>
    </xf>
    <xf numFmtId="0" fontId="5" fillId="4" borderId="45" xfId="0" applyFont="1" applyFill="1" applyBorder="1" applyAlignment="1">
      <alignment horizontal="left" wrapText="1"/>
    </xf>
    <xf numFmtId="0" fontId="8" fillId="6" borderId="39" xfId="0" applyFont="1" applyFill="1" applyBorder="1" applyAlignment="1">
      <alignment horizontal="center"/>
    </xf>
    <xf numFmtId="0" fontId="8" fillId="6" borderId="40" xfId="0" applyFont="1" applyFill="1" applyBorder="1" applyAlignment="1">
      <alignment horizontal="center"/>
    </xf>
    <xf numFmtId="0" fontId="8" fillId="6" borderId="41" xfId="0" applyFont="1" applyFill="1" applyBorder="1" applyAlignment="1">
      <alignment horizontal="center"/>
    </xf>
    <xf numFmtId="0" fontId="0" fillId="4" borderId="3" xfId="0" applyFont="1" applyFill="1" applyBorder="1" applyAlignment="1">
      <alignment horizontal="left" wrapText="1"/>
    </xf>
    <xf numFmtId="0" fontId="3" fillId="4" borderId="0" xfId="0" applyFont="1" applyFill="1" applyBorder="1" applyAlignment="1">
      <alignment horizontal="left" wrapText="1"/>
    </xf>
    <xf numFmtId="0" fontId="3" fillId="4" borderId="35" xfId="0" applyFont="1" applyFill="1" applyBorder="1" applyAlignment="1">
      <alignment horizontal="left" wrapText="1"/>
    </xf>
    <xf numFmtId="0" fontId="0" fillId="4" borderId="3" xfId="0" applyFill="1" applyBorder="1" applyAlignment="1">
      <alignment horizontal="left" wrapText="1"/>
    </xf>
    <xf numFmtId="0" fontId="0" fillId="4" borderId="44" xfId="0" applyFill="1" applyBorder="1" applyAlignment="1">
      <alignment horizontal="left" wrapText="1"/>
    </xf>
    <xf numFmtId="0" fontId="0" fillId="4" borderId="38" xfId="0" applyFill="1" applyBorder="1" applyAlignment="1">
      <alignment horizontal="left" wrapText="1"/>
    </xf>
    <xf numFmtId="0" fontId="0" fillId="5" borderId="0" xfId="0" applyFill="1" applyBorder="1" applyAlignment="1">
      <alignment horizontal="left"/>
    </xf>
    <xf numFmtId="0" fontId="0" fillId="0" borderId="0" xfId="0" applyFill="1" applyBorder="1" applyAlignment="1">
      <alignment horizontal="left"/>
    </xf>
    <xf numFmtId="0" fontId="0" fillId="4" borderId="42" xfId="0" applyFill="1" applyBorder="1" applyAlignment="1">
      <alignment horizontal="left" wrapText="1"/>
    </xf>
    <xf numFmtId="0" fontId="0" fillId="4" borderId="37" xfId="0" applyFill="1" applyBorder="1" applyAlignment="1">
      <alignment horizontal="left" wrapText="1"/>
    </xf>
    <xf numFmtId="0" fontId="0" fillId="4" borderId="46" xfId="0" applyFill="1" applyBorder="1" applyAlignment="1">
      <alignment horizontal="left" wrapText="1"/>
    </xf>
  </cellXfs>
  <cellStyles count="1">
    <cellStyle name="Normal" xfId="0" builtinId="0"/>
  </cellStyles>
  <dxfs count="21">
    <dxf>
      <border diagonalUp="0" diagonalDown="0">
        <left style="medium">
          <color indexed="64"/>
        </left>
        <right/>
        <top/>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theme="9" tint="0.79998168889431442"/>
        </patternFill>
      </fill>
      <border diagonalUp="0" diagonalDown="0">
        <left style="thin">
          <color indexed="64"/>
        </left>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Aptos Narrow"/>
        <family val="2"/>
        <scheme val="minor"/>
      </font>
      <fill>
        <patternFill patternType="solid">
          <fgColor indexed="64"/>
          <bgColor theme="9" tint="-0.49998474074526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numFmt numFmtId="35" formatCode="_(* #,##0.00_);_(* \(#,##0.00\);_(* &quot;-&quot;??_);_(@_)"/>
      <border diagonalUp="0" diagonalDown="0">
        <left style="thin">
          <color indexed="64"/>
        </left>
        <right/>
        <top style="thin">
          <color indexed="64"/>
        </top>
        <bottom style="thin">
          <color indexed="64"/>
        </bottom>
        <vertical/>
        <horizontal/>
      </border>
      <protection locked="1" hidden="0"/>
    </dxf>
    <dxf>
      <numFmt numFmtId="0" formatCode="General"/>
      <border diagonalUp="0" diagonalDown="0">
        <left style="thin">
          <color indexed="64"/>
        </left>
        <right/>
        <top style="thin">
          <color indexed="64"/>
        </top>
        <bottom style="thin">
          <color indexed="64"/>
        </bottom>
        <vertical/>
        <horizontal/>
      </border>
      <protection locked="1" hidden="0"/>
    </dxf>
    <dxf>
      <numFmt numFmtId="0" formatCode="General"/>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style="thin">
          <color indexed="64"/>
        </top>
        <bottom style="thin">
          <color indexed="64"/>
        </bottom>
        <vertical/>
        <horizontal/>
      </border>
      <protection locked="0" hidden="0"/>
    </dxf>
    <dxf>
      <numFmt numFmtId="0" formatCode="General"/>
      <border diagonalUp="0" diagonalDown="0">
        <left style="thin">
          <color indexed="64"/>
        </left>
        <right style="thin">
          <color indexed="64"/>
        </right>
        <top style="thin">
          <color indexed="64"/>
        </top>
        <bottom/>
        <vertical/>
        <horizontal/>
      </border>
      <protection locked="1"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diagonalUp="0" diagonalDown="0">
        <left style="medium">
          <color indexed="64"/>
        </left>
        <right style="medium">
          <color indexed="64"/>
        </right>
        <top style="medium">
          <color indexed="64"/>
        </top>
        <bottom style="medium">
          <color indexed="64"/>
        </bottom>
      </border>
    </dxf>
    <dxf>
      <border outline="0">
        <bottom style="thin">
          <color indexed="64"/>
        </bottom>
      </border>
    </dxf>
    <dxf>
      <font>
        <color rgb="FF000000"/>
      </font>
      <fill>
        <patternFill patternType="solid">
          <fgColor indexed="64"/>
          <bgColor theme="9" tint="0.59999389629810485"/>
        </patternFill>
      </fill>
      <alignment horizontal="center" vertical="bottom" textRotation="0" indent="0" justifyLastLine="0" shrinkToFit="0" readingOrder="0"/>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542925</xdr:colOff>
      <xdr:row>11</xdr:row>
      <xdr:rowOff>114300</xdr:rowOff>
    </xdr:from>
    <xdr:to>
      <xdr:col>2</xdr:col>
      <xdr:colOff>742950</xdr:colOff>
      <xdr:row>12</xdr:row>
      <xdr:rowOff>19050</xdr:rowOff>
    </xdr:to>
    <xdr:pic>
      <xdr:nvPicPr>
        <xdr:cNvPr id="2" name="Picture 1">
          <a:extLst>
            <a:ext uri="{FF2B5EF4-FFF2-40B4-BE49-F238E27FC236}">
              <a16:creationId xmlns:a16="http://schemas.microsoft.com/office/drawing/2014/main" id="{EBE97E14-8879-F3D5-27B7-FF32C6941742}"/>
            </a:ext>
            <a:ext uri="{147F2762-F138-4A5C-976F-8EAC2B608ADB}">
              <a16:predDERef xmlns:a16="http://schemas.microsoft.com/office/drawing/2014/main" pred="{D9C9EEAE-5DE7-39A2-4A2E-FC99F5EA06DF}"/>
            </a:ext>
          </a:extLst>
        </xdr:cNvPr>
        <xdr:cNvPicPr>
          <a:picLocks noChangeAspect="1"/>
        </xdr:cNvPicPr>
      </xdr:nvPicPr>
      <xdr:blipFill>
        <a:blip xmlns:r="http://schemas.openxmlformats.org/officeDocument/2006/relationships" r:embed="rId1"/>
        <a:stretch>
          <a:fillRect/>
        </a:stretch>
      </xdr:blipFill>
      <xdr:spPr>
        <a:xfrm>
          <a:off x="1952625" y="3724275"/>
          <a:ext cx="2819400" cy="2857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982685A-2AD6-4EDC-AEEA-2132ACC04A10}" name="Table3" displayName="Table3" ref="A16:G47" totalsRowShown="0" headerRowDxfId="20" headerRowBorderDxfId="19" tableBorderDxfId="18" totalsRowBorderDxfId="17">
  <autoFilter ref="A16:G47" xr:uid="{F982685A-2AD6-4EDC-AEEA-2132ACC04A1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734C30B-CD08-4DBD-AF12-A05E1BC292A3}" name="Fuel Type" dataDxfId="16"/>
    <tableColumn id="2" xr3:uid="{C1AEA7AF-F3E8-41DD-BCCC-3A606F16F924}" name="Fuel Qty " dataDxfId="15"/>
    <tableColumn id="7" xr3:uid="{0ED6676C-44A2-45F2-B5F1-6298F654E422}" name="Units" dataDxfId="14">
      <calculatedColumnFormula>IFERROR(VLOOKUP(A17,'list items (hide)'!A:E,5,FALSE),"")</calculatedColumnFormula>
    </tableColumn>
    <tableColumn id="5" xr3:uid="{D9AB1911-C716-4593-BE44-1A8101E5A903}" name="Fuel Source" dataDxfId="13"/>
    <tableColumn id="3" xr3:uid="{17941521-D31B-4209-9E97-DAD8BDB2BDF5}" name="EF (KgCO2e/mmbtu)" dataDxfId="12">
      <calculatedColumnFormula>IFERROR(IF(Table3[[#This Row],[Fuel Source]]="In State", VLOOKUP(A17,'list items (hide)'!A:C,3,FALSE), VLOOKUP(A17,'list items (hide)'!A:C,2,FALSE)),"")</calculatedColumnFormula>
    </tableColumn>
    <tableColumn id="6" xr3:uid="{9F898EE7-9E27-44AB-975E-AB8AA58421BD}" name="HHV (mmbtu/fuel unit)" dataDxfId="11">
      <calculatedColumnFormula>IFERROR(VLOOKUP(A17,'list items (hide)'!A:D,4,FALSE),"")</calculatedColumnFormula>
    </tableColumn>
    <tableColumn id="4" xr3:uid="{C2766434-1447-41F5-89DD-7FF7F410A06C}" name="Emissions CO2e (Mt)" dataDxfId="10">
      <calculatedColumnFormula>IFERROR(Table3[[#This Row],[Fuel Qty ]]*Table3[[#This Row],[EF (KgCO2e/mmbtu)]]*Table3[[#This Row],[HHV (mmbtu/fuel unit)]]/1000,"")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7272FF-60CE-4B12-B026-0660459F7A37}" name="Table2" displayName="Table2" ref="A17:C84" totalsRowShown="0" headerRowDxfId="9" headerRowBorderDxfId="8" tableBorderDxfId="7" totalsRowBorderDxfId="6">
  <autoFilter ref="A17:C84" xr:uid="{727272FF-60CE-4B12-B026-0660459F7A37}">
    <filterColumn colId="0" hiddenButton="1"/>
    <filterColumn colId="1" hiddenButton="1"/>
    <filterColumn colId="2" hiddenButton="1"/>
  </autoFilter>
  <tableColumns count="3">
    <tableColumn id="1" xr3:uid="{029CBBA9-42E0-4D77-A5F5-E309CDD36677}" name="Year" dataDxfId="5"/>
    <tableColumn id="2" xr3:uid="{857CC65F-735F-4667-8095-C8CB013C6531}" name="Quantity of waste disposed, wet waste/ as received (Metric Tons)" dataDxfId="4"/>
    <tableColumn id="3" xr3:uid="{6D62DEDD-30DE-44EC-94EA-2B25A47E8A2B}" name="GCH4" dataDxfId="3">
      <calculatedColumnFormula>B18*MCF*DOC*DOCF*F*(16/12)*(EXP(-k*($A$84-A18-1))-EXP(-k*($A$84-A18)))</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8BA9740-5288-4B35-B3FB-03AE18D2570C}" name="Table4" displayName="Table4" ref="A1:C7" totalsRowShown="0">
  <autoFilter ref="A1:C7" xr:uid="{98BA9740-5288-4B35-B3FB-03AE18D2570C}"/>
  <tableColumns count="3">
    <tableColumn id="3" xr3:uid="{021D14F8-8525-4AFC-8773-3D8F99B32F71}" name="cover type abrv" dataDxfId="2"/>
    <tableColumn id="1" xr3:uid="{547BF040-9E97-4D15-BD62-E96EF0B0DB44}" name="Type of landfill cover" dataDxfId="1"/>
    <tableColumn id="2" xr3:uid="{94932246-4C3D-4B93-9EED-299B4BE39FEF}" name="oxidation facto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93D33A-81C6-4D99-82E7-585BD89CA485}" name="Table1" displayName="Table1" ref="A1:E36" totalsRowShown="0">
  <autoFilter ref="A1:E36" xr:uid="{D993D33A-81C6-4D99-82E7-585BD89CA485}"/>
  <tableColumns count="5">
    <tableColumn id="1" xr3:uid="{45614468-1EDB-4D98-BB31-9368929F2037}" name="Fuel Type" dataDxfId="0"/>
    <tableColumn id="2" xr3:uid="{BEA7490B-BEEB-41F7-8B55-4A47E2C45403}" name="Out of State EF"/>
    <tableColumn id="3" xr3:uid="{049D805D-BE40-4B85-8A20-EE9F1F401B67}" name="In State EF"/>
    <tableColumn id="4" xr3:uid="{2AEC7936-1D49-4D3D-83FC-C3B96F36BBFD}" name="HHV"/>
    <tableColumn id="5" xr3:uid="{E588848E-1A9A-4B49-9188-32AEACD1A922}" name="Units"/>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9D0F9-0C15-4433-91BC-0BBF81F41706}">
  <sheetPr>
    <pageSetUpPr fitToPage="1"/>
  </sheetPr>
  <dimension ref="A1:K49"/>
  <sheetViews>
    <sheetView showGridLines="0" workbookViewId="0">
      <selection activeCell="H28" sqref="H28"/>
    </sheetView>
  </sheetViews>
  <sheetFormatPr defaultRowHeight="15" x14ac:dyDescent="0.25"/>
  <cols>
    <col min="1" max="1" width="22.140625" customWidth="1"/>
    <col min="2" max="2" width="13" customWidth="1"/>
    <col min="3" max="3" width="18.28515625" customWidth="1"/>
    <col min="4" max="4" width="20.85546875" customWidth="1"/>
    <col min="5" max="5" width="17.7109375" customWidth="1"/>
    <col min="6" max="6" width="18" customWidth="1"/>
    <col min="7" max="9" width="22.85546875" customWidth="1"/>
    <col min="10" max="10" width="22.85546875" style="27" customWidth="1"/>
    <col min="11" max="11" width="22.42578125" bestFit="1" customWidth="1"/>
  </cols>
  <sheetData>
    <row r="1" spans="1:11" ht="58.5" customHeight="1" x14ac:dyDescent="0.25">
      <c r="A1" s="107" t="s">
        <v>0</v>
      </c>
      <c r="B1" s="108"/>
      <c r="C1" s="108"/>
      <c r="D1" s="108"/>
      <c r="E1" s="108"/>
      <c r="F1" s="108"/>
      <c r="G1" s="109"/>
    </row>
    <row r="2" spans="1:11" ht="18.75" x14ac:dyDescent="0.3">
      <c r="A2" s="37"/>
      <c r="B2" s="32"/>
      <c r="C2" s="33"/>
      <c r="D2" s="33"/>
      <c r="E2" s="33"/>
      <c r="F2" s="33"/>
      <c r="G2" s="42"/>
    </row>
    <row r="3" spans="1:11" ht="18.75" x14ac:dyDescent="0.3">
      <c r="A3" s="44" t="s">
        <v>1</v>
      </c>
      <c r="B3" s="45"/>
      <c r="C3" s="46"/>
      <c r="D3" s="46"/>
      <c r="E3" s="46"/>
      <c r="F3" s="46"/>
      <c r="G3" s="47"/>
    </row>
    <row r="4" spans="1:11" s="31" customFormat="1" ht="32.25" customHeight="1" x14ac:dyDescent="0.25">
      <c r="A4" s="118" t="s">
        <v>2</v>
      </c>
      <c r="B4" s="119"/>
      <c r="C4" s="119"/>
      <c r="D4" s="119"/>
      <c r="E4" s="119"/>
      <c r="F4" s="119"/>
      <c r="G4" s="120"/>
    </row>
    <row r="5" spans="1:11" s="29" customFormat="1" ht="31.5" customHeight="1" x14ac:dyDescent="0.25">
      <c r="A5" s="121" t="s">
        <v>3</v>
      </c>
      <c r="B5" s="119"/>
      <c r="C5" s="119"/>
      <c r="D5" s="119"/>
      <c r="E5" s="119"/>
      <c r="F5" s="119"/>
      <c r="G5" s="120"/>
    </row>
    <row r="6" spans="1:11" s="29" customFormat="1" ht="46.5" customHeight="1" x14ac:dyDescent="0.25">
      <c r="A6" s="112" t="s">
        <v>4</v>
      </c>
      <c r="B6" s="113"/>
      <c r="C6" s="113"/>
      <c r="D6" s="113"/>
      <c r="E6" s="113"/>
      <c r="F6" s="113"/>
      <c r="G6" s="114"/>
      <c r="H6" s="30"/>
      <c r="I6" s="30"/>
      <c r="J6" s="30"/>
      <c r="K6" s="30"/>
    </row>
    <row r="7" spans="1:11" ht="18.75" x14ac:dyDescent="0.3">
      <c r="A7" s="37"/>
      <c r="B7" s="34"/>
      <c r="C7" s="34"/>
      <c r="D7" s="20"/>
      <c r="E7" s="20"/>
      <c r="F7" s="20"/>
      <c r="G7" s="43"/>
    </row>
    <row r="8" spans="1:11" ht="18.75" x14ac:dyDescent="0.3">
      <c r="A8" s="44" t="s">
        <v>5</v>
      </c>
      <c r="B8" s="48"/>
      <c r="C8" s="48"/>
      <c r="D8" s="46"/>
      <c r="E8" s="46"/>
      <c r="F8" s="46"/>
      <c r="G8" s="47"/>
    </row>
    <row r="9" spans="1:11" x14ac:dyDescent="0.25">
      <c r="A9" s="115" t="s">
        <v>6</v>
      </c>
      <c r="B9" s="116"/>
      <c r="C9" s="116"/>
      <c r="D9" s="116"/>
      <c r="E9" s="116"/>
      <c r="F9" s="116"/>
      <c r="G9" s="117"/>
      <c r="H9" s="28"/>
      <c r="I9" s="28"/>
      <c r="J9" s="28"/>
      <c r="K9" s="28"/>
    </row>
    <row r="10" spans="1:11" x14ac:dyDescent="0.25">
      <c r="A10" s="115" t="s">
        <v>7</v>
      </c>
      <c r="B10" s="116"/>
      <c r="C10" s="116"/>
      <c r="D10" s="116"/>
      <c r="E10" s="116"/>
      <c r="F10" s="116"/>
      <c r="G10" s="117"/>
      <c r="H10" s="28"/>
      <c r="I10" s="28"/>
      <c r="J10" s="28"/>
      <c r="K10" s="28"/>
    </row>
    <row r="11" spans="1:11" ht="27.75" customHeight="1" x14ac:dyDescent="0.25">
      <c r="A11" s="112" t="s">
        <v>8</v>
      </c>
      <c r="B11" s="113"/>
      <c r="C11" s="113"/>
      <c r="D11" s="113"/>
      <c r="E11" s="113"/>
      <c r="F11" s="113"/>
      <c r="G11" s="114"/>
      <c r="H11" s="28"/>
      <c r="I11" s="28"/>
      <c r="J11" s="28"/>
      <c r="K11" s="28"/>
    </row>
    <row r="12" spans="1:11" x14ac:dyDescent="0.25">
      <c r="A12" s="37"/>
      <c r="B12" s="20"/>
      <c r="C12" s="20"/>
      <c r="D12" s="20"/>
      <c r="E12" s="20"/>
      <c r="F12" s="20"/>
      <c r="G12" s="43"/>
    </row>
    <row r="13" spans="1:11" x14ac:dyDescent="0.25">
      <c r="A13" s="62" t="s">
        <v>9</v>
      </c>
      <c r="B13" s="63"/>
      <c r="C13" s="63"/>
      <c r="D13" s="63"/>
      <c r="E13" s="63"/>
      <c r="F13" s="63"/>
      <c r="G13" s="64"/>
    </row>
    <row r="14" spans="1:11" x14ac:dyDescent="0.25">
      <c r="A14" s="110" t="s">
        <v>10</v>
      </c>
      <c r="B14" s="111"/>
      <c r="C14" s="78" t="s">
        <v>11</v>
      </c>
      <c r="D14" s="78"/>
      <c r="E14" s="78"/>
      <c r="F14" s="78"/>
      <c r="G14" s="65"/>
    </row>
    <row r="15" spans="1:11" x14ac:dyDescent="0.25">
      <c r="A15" s="37"/>
      <c r="B15" s="20"/>
      <c r="C15" s="20"/>
      <c r="D15" s="20"/>
      <c r="E15" s="20"/>
      <c r="F15" s="20"/>
      <c r="G15" s="43"/>
    </row>
    <row r="16" spans="1:11" ht="33" x14ac:dyDescent="0.35">
      <c r="A16" s="82" t="s">
        <v>12</v>
      </c>
      <c r="B16" s="83" t="s">
        <v>13</v>
      </c>
      <c r="C16" s="83" t="s">
        <v>14</v>
      </c>
      <c r="D16" s="83" t="s">
        <v>15</v>
      </c>
      <c r="E16" s="102" t="s">
        <v>16</v>
      </c>
      <c r="F16" s="84" t="s">
        <v>17</v>
      </c>
      <c r="G16" s="85" t="s">
        <v>18</v>
      </c>
    </row>
    <row r="17" spans="1:7" x14ac:dyDescent="0.25">
      <c r="A17" s="49"/>
      <c r="B17" s="25"/>
      <c r="C17" s="21" t="str">
        <f>IFERROR(VLOOKUP(A17,'list items (hide)'!A:E,5,FALSE),"")</f>
        <v/>
      </c>
      <c r="D17" s="25"/>
      <c r="E17" s="21" t="str">
        <f>IFERROR(IF(Table3[[#This Row],[Fuel Source]]="In State", VLOOKUP(A17,'list items (hide)'!A:C,3,FALSE), VLOOKUP(A17,'list items (hide)'!A:C,2,FALSE)),"")</f>
        <v/>
      </c>
      <c r="F17" s="22" t="str">
        <f>IFERROR(VLOOKUP(A17,'list items (hide)'!A:D,4,FALSE),"")</f>
        <v/>
      </c>
      <c r="G17" s="50" t="str">
        <f>IFERROR(Table3[[#This Row],[Fuel Qty ]]*Table3[[#This Row],[EF (KgCO2e/mmbtu)]]*Table3[[#This Row],[HHV (mmbtu/fuel unit)]]/1000,"")</f>
        <v/>
      </c>
    </row>
    <row r="18" spans="1:7" x14ac:dyDescent="0.25">
      <c r="A18" s="49"/>
      <c r="B18" s="25"/>
      <c r="C18" s="21" t="str">
        <f>IFERROR(VLOOKUP(A18,'list items (hide)'!A:E,5,FALSE),"")</f>
        <v/>
      </c>
      <c r="D18" s="25"/>
      <c r="E18" s="21" t="str">
        <f>IFERROR(IF(Table3[[#This Row],[Fuel Source]]="In State", VLOOKUP(A18,'list items (hide)'!A:C,3,FALSE), VLOOKUP(A18,'list items (hide)'!A:C,2,FALSE)),"")</f>
        <v/>
      </c>
      <c r="F18" s="22" t="str">
        <f>IFERROR(VLOOKUP(A18,'list items (hide)'!A:D,4,FALSE),"")</f>
        <v/>
      </c>
      <c r="G18" s="50" t="str">
        <f>IFERROR(Table3[[#This Row],[Fuel Qty ]]*Table3[[#This Row],[EF (KgCO2e/mmbtu)]]*Table3[[#This Row],[HHV (mmbtu/fuel unit)]]/1000,"")</f>
        <v/>
      </c>
    </row>
    <row r="19" spans="1:7" x14ac:dyDescent="0.25">
      <c r="A19" s="49"/>
      <c r="B19" s="25"/>
      <c r="C19" s="21" t="str">
        <f>IFERROR(VLOOKUP(A19,'list items (hide)'!A:E,5,FALSE),"")</f>
        <v/>
      </c>
      <c r="D19" s="25"/>
      <c r="E19" s="21" t="str">
        <f>IFERROR(IF(Table3[[#This Row],[Fuel Source]]="In State", VLOOKUP(A19,'list items (hide)'!A:C,3,FALSE), VLOOKUP(A19,'list items (hide)'!A:C,2,FALSE)),"")</f>
        <v/>
      </c>
      <c r="F19" s="22" t="str">
        <f>IFERROR(VLOOKUP(A19,'list items (hide)'!A:D,4,FALSE),"")</f>
        <v/>
      </c>
      <c r="G19" s="50" t="str">
        <f>IFERROR(Table3[[#This Row],[Fuel Qty ]]*Table3[[#This Row],[EF (KgCO2e/mmbtu)]]*Table3[[#This Row],[HHV (mmbtu/fuel unit)]]/1000,"")</f>
        <v/>
      </c>
    </row>
    <row r="20" spans="1:7" x14ac:dyDescent="0.25">
      <c r="A20" s="49"/>
      <c r="B20" s="25"/>
      <c r="C20" s="21" t="str">
        <f>IFERROR(VLOOKUP(A20,'list items (hide)'!A:E,5,FALSE),"")</f>
        <v/>
      </c>
      <c r="D20" s="25"/>
      <c r="E20" s="21" t="str">
        <f>IFERROR(IF(Table3[[#This Row],[Fuel Source]]="In State", VLOOKUP(A20,'list items (hide)'!A:C,3,FALSE), VLOOKUP(A20,'list items (hide)'!A:C,2,FALSE)),"")</f>
        <v/>
      </c>
      <c r="F20" s="22" t="str">
        <f>IFERROR(VLOOKUP(A20,'list items (hide)'!A:D,4,FALSE),"")</f>
        <v/>
      </c>
      <c r="G20" s="50" t="str">
        <f>IFERROR(Table3[[#This Row],[Fuel Qty ]]*Table3[[#This Row],[EF (KgCO2e/mmbtu)]]*Table3[[#This Row],[HHV (mmbtu/fuel unit)]]/1000,"")</f>
        <v/>
      </c>
    </row>
    <row r="21" spans="1:7" x14ac:dyDescent="0.25">
      <c r="A21" s="51"/>
      <c r="B21" s="26"/>
      <c r="C21" s="23" t="str">
        <f>IFERROR(VLOOKUP(A21,'list items (hide)'!A:E,5,FALSE),"")</f>
        <v/>
      </c>
      <c r="D21" s="25"/>
      <c r="E21" s="23" t="str">
        <f>IFERROR(IF(Table3[[#This Row],[Fuel Source]]="In State", VLOOKUP(A21,'list items (hide)'!A:C,3,FALSE), VLOOKUP(A21,'list items (hide)'!A:C,2,FALSE)),"")</f>
        <v/>
      </c>
      <c r="F21" s="24" t="str">
        <f>IFERROR(VLOOKUP(A21,'list items (hide)'!A:D,4,FALSE),"")</f>
        <v/>
      </c>
      <c r="G21" s="52" t="str">
        <f>IFERROR(Table3[[#This Row],[Fuel Qty ]]*Table3[[#This Row],[EF (KgCO2e/mmbtu)]]*Table3[[#This Row],[HHV (mmbtu/fuel unit)]]/1000,"")</f>
        <v/>
      </c>
    </row>
    <row r="22" spans="1:7" x14ac:dyDescent="0.25">
      <c r="A22" s="51"/>
      <c r="B22" s="26"/>
      <c r="C22" s="23" t="str">
        <f>IFERROR(VLOOKUP(A22,'list items (hide)'!A:E,5,FALSE),"")</f>
        <v/>
      </c>
      <c r="D22" s="25"/>
      <c r="E22" s="23" t="str">
        <f>IFERROR(IF(Table3[[#This Row],[Fuel Source]]="In State", VLOOKUP(A22,'list items (hide)'!A:C,3,FALSE), VLOOKUP(A22,'list items (hide)'!A:C,2,FALSE)),"")</f>
        <v/>
      </c>
      <c r="F22" s="24" t="str">
        <f>IFERROR(VLOOKUP(A22,'list items (hide)'!A:D,4,FALSE),"")</f>
        <v/>
      </c>
      <c r="G22" s="52" t="str">
        <f>IFERROR(Table3[[#This Row],[Fuel Qty ]]*Table3[[#This Row],[EF (KgCO2e/mmbtu)]]*Table3[[#This Row],[HHV (mmbtu/fuel unit)]]/1000,"")</f>
        <v/>
      </c>
    </row>
    <row r="23" spans="1:7" x14ac:dyDescent="0.25">
      <c r="A23" s="51"/>
      <c r="B23" s="26"/>
      <c r="C23" s="23" t="str">
        <f>IFERROR(VLOOKUP(A23,'list items (hide)'!A:E,5,FALSE),"")</f>
        <v/>
      </c>
      <c r="D23" s="25"/>
      <c r="E23" s="23" t="str">
        <f>IFERROR(IF(Table3[[#This Row],[Fuel Source]]="In State", VLOOKUP(A23,'list items (hide)'!A:C,3,FALSE), VLOOKUP(A23,'list items (hide)'!A:C,2,FALSE)),"")</f>
        <v/>
      </c>
      <c r="F23" s="24" t="str">
        <f>IFERROR(VLOOKUP(A23,'list items (hide)'!A:D,4,FALSE),"")</f>
        <v/>
      </c>
      <c r="G23" s="52" t="str">
        <f>IFERROR(Table3[[#This Row],[Fuel Qty ]]*Table3[[#This Row],[EF (KgCO2e/mmbtu)]]*Table3[[#This Row],[HHV (mmbtu/fuel unit)]]/1000,"")</f>
        <v/>
      </c>
    </row>
    <row r="24" spans="1:7" x14ac:dyDescent="0.25">
      <c r="A24" s="51"/>
      <c r="B24" s="26"/>
      <c r="C24" s="23" t="str">
        <f>IFERROR(VLOOKUP(A24,'list items (hide)'!A:E,5,FALSE),"")</f>
        <v/>
      </c>
      <c r="D24" s="25"/>
      <c r="E24" s="23" t="str">
        <f>IFERROR(IF(Table3[[#This Row],[Fuel Source]]="In State", VLOOKUP(A24,'list items (hide)'!A:C,3,FALSE), VLOOKUP(A24,'list items (hide)'!A:C,2,FALSE)),"")</f>
        <v/>
      </c>
      <c r="F24" s="24" t="str">
        <f>IFERROR(VLOOKUP(A24,'list items (hide)'!A:D,4,FALSE),"")</f>
        <v/>
      </c>
      <c r="G24" s="52" t="str">
        <f>IFERROR(Table3[[#This Row],[Fuel Qty ]]*Table3[[#This Row],[EF (KgCO2e/mmbtu)]]*Table3[[#This Row],[HHV (mmbtu/fuel unit)]]/1000,"")</f>
        <v/>
      </c>
    </row>
    <row r="25" spans="1:7" x14ac:dyDescent="0.25">
      <c r="A25" s="51"/>
      <c r="B25" s="26"/>
      <c r="C25" s="23" t="str">
        <f>IFERROR(VLOOKUP(A25,'list items (hide)'!A:E,5,FALSE),"")</f>
        <v/>
      </c>
      <c r="D25" s="25"/>
      <c r="E25" s="23" t="str">
        <f>IFERROR(IF(Table3[[#This Row],[Fuel Source]]="In State", VLOOKUP(A25,'list items (hide)'!A:C,3,FALSE), VLOOKUP(A25,'list items (hide)'!A:C,2,FALSE)),"")</f>
        <v/>
      </c>
      <c r="F25" s="24" t="str">
        <f>IFERROR(VLOOKUP(A25,'list items (hide)'!A:D,4,FALSE),"")</f>
        <v/>
      </c>
      <c r="G25" s="52" t="str">
        <f>IFERROR(Table3[[#This Row],[Fuel Qty ]]*Table3[[#This Row],[EF (KgCO2e/mmbtu)]]*Table3[[#This Row],[HHV (mmbtu/fuel unit)]]/1000,"")</f>
        <v/>
      </c>
    </row>
    <row r="26" spans="1:7" x14ac:dyDescent="0.25">
      <c r="A26" s="51"/>
      <c r="B26" s="26"/>
      <c r="C26" s="23" t="str">
        <f>IFERROR(VLOOKUP(A26,'list items (hide)'!A:E,5,FALSE),"")</f>
        <v/>
      </c>
      <c r="D26" s="25"/>
      <c r="E26" s="23" t="str">
        <f>IFERROR(IF(Table3[[#This Row],[Fuel Source]]="In State", VLOOKUP(A26,'list items (hide)'!A:C,3,FALSE), VLOOKUP(A26,'list items (hide)'!A:C,2,FALSE)),"")</f>
        <v/>
      </c>
      <c r="F26" s="24" t="str">
        <f>IFERROR(VLOOKUP(A26,'list items (hide)'!A:D,4,FALSE),"")</f>
        <v/>
      </c>
      <c r="G26" s="52" t="str">
        <f>IFERROR(Table3[[#This Row],[Fuel Qty ]]*Table3[[#This Row],[EF (KgCO2e/mmbtu)]]*Table3[[#This Row],[HHV (mmbtu/fuel unit)]]/1000,"")</f>
        <v/>
      </c>
    </row>
    <row r="27" spans="1:7" x14ac:dyDescent="0.25">
      <c r="A27" s="51"/>
      <c r="B27" s="26"/>
      <c r="C27" s="23" t="str">
        <f>IFERROR(VLOOKUP(A27,'list items (hide)'!A:E,5,FALSE),"")</f>
        <v/>
      </c>
      <c r="D27" s="25"/>
      <c r="E27" s="23" t="str">
        <f>IFERROR(IF(Table3[[#This Row],[Fuel Source]]="In State", VLOOKUP(A27,'list items (hide)'!A:C,3,FALSE), VLOOKUP(A27,'list items (hide)'!A:C,2,FALSE)),"")</f>
        <v/>
      </c>
      <c r="F27" s="24" t="str">
        <f>IFERROR(VLOOKUP(A27,'list items (hide)'!A:D,4,FALSE),"")</f>
        <v/>
      </c>
      <c r="G27" s="52" t="str">
        <f>IFERROR(Table3[[#This Row],[Fuel Qty ]]*Table3[[#This Row],[EF (KgCO2e/mmbtu)]]*Table3[[#This Row],[HHV (mmbtu/fuel unit)]]/1000,"")</f>
        <v/>
      </c>
    </row>
    <row r="28" spans="1:7" x14ac:dyDescent="0.25">
      <c r="A28" s="51"/>
      <c r="B28" s="26"/>
      <c r="C28" s="23" t="str">
        <f>IFERROR(VLOOKUP(A28,'list items (hide)'!A:E,5,FALSE),"")</f>
        <v/>
      </c>
      <c r="D28" s="25"/>
      <c r="E28" s="23" t="str">
        <f>IFERROR(IF(Table3[[#This Row],[Fuel Source]]="In State", VLOOKUP(A28,'list items (hide)'!A:C,3,FALSE), VLOOKUP(A28,'list items (hide)'!A:C,2,FALSE)),"")</f>
        <v/>
      </c>
      <c r="F28" s="24" t="str">
        <f>IFERROR(VLOOKUP(A28,'list items (hide)'!A:D,4,FALSE),"")</f>
        <v/>
      </c>
      <c r="G28" s="52" t="str">
        <f>IFERROR(Table3[[#This Row],[Fuel Qty ]]*Table3[[#This Row],[EF (KgCO2e/mmbtu)]]*Table3[[#This Row],[HHV (mmbtu/fuel unit)]]/1000,"")</f>
        <v/>
      </c>
    </row>
    <row r="29" spans="1:7" x14ac:dyDescent="0.25">
      <c r="A29" s="51"/>
      <c r="B29" s="26"/>
      <c r="C29" s="23" t="str">
        <f>IFERROR(VLOOKUP(A29,'list items (hide)'!A:E,5,FALSE),"")</f>
        <v/>
      </c>
      <c r="D29" s="25"/>
      <c r="E29" s="23" t="str">
        <f>IFERROR(IF(Table3[[#This Row],[Fuel Source]]="In State", VLOOKUP(A29,'list items (hide)'!A:C,3,FALSE), VLOOKUP(A29,'list items (hide)'!A:C,2,FALSE)),"")</f>
        <v/>
      </c>
      <c r="F29" s="24" t="str">
        <f>IFERROR(VLOOKUP(A29,'list items (hide)'!A:D,4,FALSE),"")</f>
        <v/>
      </c>
      <c r="G29" s="52" t="str">
        <f>IFERROR(Table3[[#This Row],[Fuel Qty ]]*Table3[[#This Row],[EF (KgCO2e/mmbtu)]]*Table3[[#This Row],[HHV (mmbtu/fuel unit)]]/1000,"")</f>
        <v/>
      </c>
    </row>
    <row r="30" spans="1:7" x14ac:dyDescent="0.25">
      <c r="A30" s="51"/>
      <c r="B30" s="26"/>
      <c r="C30" s="23" t="str">
        <f>IFERROR(VLOOKUP(A30,'list items (hide)'!A:E,5,FALSE),"")</f>
        <v/>
      </c>
      <c r="D30" s="25"/>
      <c r="E30" s="23" t="str">
        <f>IFERROR(IF(Table3[[#This Row],[Fuel Source]]="In State", VLOOKUP(A30,'list items (hide)'!A:C,3,FALSE), VLOOKUP(A30,'list items (hide)'!A:C,2,FALSE)),"")</f>
        <v/>
      </c>
      <c r="F30" s="24" t="str">
        <f>IFERROR(VLOOKUP(A30,'list items (hide)'!A:D,4,FALSE),"")</f>
        <v/>
      </c>
      <c r="G30" s="52" t="str">
        <f>IFERROR(Table3[[#This Row],[Fuel Qty ]]*Table3[[#This Row],[EF (KgCO2e/mmbtu)]]*Table3[[#This Row],[HHV (mmbtu/fuel unit)]]/1000,"")</f>
        <v/>
      </c>
    </row>
    <row r="31" spans="1:7" x14ac:dyDescent="0.25">
      <c r="A31" s="51"/>
      <c r="B31" s="26"/>
      <c r="C31" s="23" t="str">
        <f>IFERROR(VLOOKUP(A31,'list items (hide)'!A:E,5,FALSE),"")</f>
        <v/>
      </c>
      <c r="D31" s="25"/>
      <c r="E31" s="23" t="str">
        <f>IFERROR(IF(Table3[[#This Row],[Fuel Source]]="In State", VLOOKUP(A31,'list items (hide)'!A:C,3,FALSE), VLOOKUP(A31,'list items (hide)'!A:C,2,FALSE)),"")</f>
        <v/>
      </c>
      <c r="F31" s="24" t="str">
        <f>IFERROR(VLOOKUP(A31,'list items (hide)'!A:D,4,FALSE),"")</f>
        <v/>
      </c>
      <c r="G31" s="52" t="str">
        <f>IFERROR(Table3[[#This Row],[Fuel Qty ]]*Table3[[#This Row],[EF (KgCO2e/mmbtu)]]*Table3[[#This Row],[HHV (mmbtu/fuel unit)]]/1000,"")</f>
        <v/>
      </c>
    </row>
    <row r="32" spans="1:7" x14ac:dyDescent="0.25">
      <c r="A32" s="51"/>
      <c r="B32" s="26"/>
      <c r="C32" s="23" t="str">
        <f>IFERROR(VLOOKUP(A32,'list items (hide)'!A:E,5,FALSE),"")</f>
        <v/>
      </c>
      <c r="D32" s="25"/>
      <c r="E32" s="23" t="str">
        <f>IFERROR(IF(Table3[[#This Row],[Fuel Source]]="In State", VLOOKUP(A32,'list items (hide)'!A:C,3,FALSE), VLOOKUP(A32,'list items (hide)'!A:C,2,FALSE)),"")</f>
        <v/>
      </c>
      <c r="F32" s="24" t="str">
        <f>IFERROR(VLOOKUP(A32,'list items (hide)'!A:D,4,FALSE),"")</f>
        <v/>
      </c>
      <c r="G32" s="52" t="str">
        <f>IFERROR(Table3[[#This Row],[Fuel Qty ]]*Table3[[#This Row],[EF (KgCO2e/mmbtu)]]*Table3[[#This Row],[HHV (mmbtu/fuel unit)]]/1000,"")</f>
        <v/>
      </c>
    </row>
    <row r="33" spans="1:7" x14ac:dyDescent="0.25">
      <c r="A33" s="51"/>
      <c r="B33" s="26"/>
      <c r="C33" s="23" t="str">
        <f>IFERROR(VLOOKUP(A33,'list items (hide)'!A:E,5,FALSE),"")</f>
        <v/>
      </c>
      <c r="D33" s="25"/>
      <c r="E33" s="23" t="str">
        <f>IFERROR(IF(Table3[[#This Row],[Fuel Source]]="In State", VLOOKUP(A33,'list items (hide)'!A:C,3,FALSE), VLOOKUP(A33,'list items (hide)'!A:C,2,FALSE)),"")</f>
        <v/>
      </c>
      <c r="F33" s="24" t="str">
        <f>IFERROR(VLOOKUP(A33,'list items (hide)'!A:D,4,FALSE),"")</f>
        <v/>
      </c>
      <c r="G33" s="52" t="str">
        <f>IFERROR(Table3[[#This Row],[Fuel Qty ]]*Table3[[#This Row],[EF (KgCO2e/mmbtu)]]*Table3[[#This Row],[HHV (mmbtu/fuel unit)]]/1000,"")</f>
        <v/>
      </c>
    </row>
    <row r="34" spans="1:7" x14ac:dyDescent="0.25">
      <c r="A34" s="51"/>
      <c r="B34" s="26"/>
      <c r="C34" s="23" t="str">
        <f>IFERROR(VLOOKUP(A34,'list items (hide)'!A:E,5,FALSE),"")</f>
        <v/>
      </c>
      <c r="D34" s="25"/>
      <c r="E34" s="23" t="str">
        <f>IFERROR(IF(Table3[[#This Row],[Fuel Source]]="In State", VLOOKUP(A34,'list items (hide)'!A:C,3,FALSE), VLOOKUP(A34,'list items (hide)'!A:C,2,FALSE)),"")</f>
        <v/>
      </c>
      <c r="F34" s="24" t="str">
        <f>IFERROR(VLOOKUP(A34,'list items (hide)'!A:D,4,FALSE),"")</f>
        <v/>
      </c>
      <c r="G34" s="52" t="str">
        <f>IFERROR(Table3[[#This Row],[Fuel Qty ]]*Table3[[#This Row],[EF (KgCO2e/mmbtu)]]*Table3[[#This Row],[HHV (mmbtu/fuel unit)]]/1000,"")</f>
        <v/>
      </c>
    </row>
    <row r="35" spans="1:7" x14ac:dyDescent="0.25">
      <c r="A35" s="51"/>
      <c r="B35" s="26"/>
      <c r="C35" s="23" t="str">
        <f>IFERROR(VLOOKUP(A35,'list items (hide)'!A:E,5,FALSE),"")</f>
        <v/>
      </c>
      <c r="D35" s="25"/>
      <c r="E35" s="23" t="str">
        <f>IFERROR(IF(Table3[[#This Row],[Fuel Source]]="In State", VLOOKUP(A35,'list items (hide)'!A:C,3,FALSE), VLOOKUP(A35,'list items (hide)'!A:C,2,FALSE)),"")</f>
        <v/>
      </c>
      <c r="F35" s="24" t="str">
        <f>IFERROR(VLOOKUP(A35,'list items (hide)'!A:D,4,FALSE),"")</f>
        <v/>
      </c>
      <c r="G35" s="52" t="str">
        <f>IFERROR(Table3[[#This Row],[Fuel Qty ]]*Table3[[#This Row],[EF (KgCO2e/mmbtu)]]*Table3[[#This Row],[HHV (mmbtu/fuel unit)]]/1000,"")</f>
        <v/>
      </c>
    </row>
    <row r="36" spans="1:7" x14ac:dyDescent="0.25">
      <c r="A36" s="51"/>
      <c r="B36" s="26"/>
      <c r="C36" s="23" t="str">
        <f>IFERROR(VLOOKUP(A36,'list items (hide)'!A:E,5,FALSE),"")</f>
        <v/>
      </c>
      <c r="D36" s="25"/>
      <c r="E36" s="23" t="str">
        <f>IFERROR(IF(Table3[[#This Row],[Fuel Source]]="In State", VLOOKUP(A36,'list items (hide)'!A:C,3,FALSE), VLOOKUP(A36,'list items (hide)'!A:C,2,FALSE)),"")</f>
        <v/>
      </c>
      <c r="F36" s="24" t="str">
        <f>IFERROR(VLOOKUP(A36,'list items (hide)'!A:D,4,FALSE),"")</f>
        <v/>
      </c>
      <c r="G36" s="52" t="str">
        <f>IFERROR(Table3[[#This Row],[Fuel Qty ]]*Table3[[#This Row],[EF (KgCO2e/mmbtu)]]*Table3[[#This Row],[HHV (mmbtu/fuel unit)]]/1000,"")</f>
        <v/>
      </c>
    </row>
    <row r="37" spans="1:7" x14ac:dyDescent="0.25">
      <c r="A37" s="51"/>
      <c r="B37" s="26"/>
      <c r="C37" s="23" t="str">
        <f>IFERROR(VLOOKUP(A37,'list items (hide)'!A:E,5,FALSE),"")</f>
        <v/>
      </c>
      <c r="D37" s="25"/>
      <c r="E37" s="23" t="str">
        <f>IFERROR(IF(Table3[[#This Row],[Fuel Source]]="In State", VLOOKUP(A37,'list items (hide)'!A:C,3,FALSE), VLOOKUP(A37,'list items (hide)'!A:C,2,FALSE)),"")</f>
        <v/>
      </c>
      <c r="F37" s="24" t="str">
        <f>IFERROR(VLOOKUP(A37,'list items (hide)'!A:D,4,FALSE),"")</f>
        <v/>
      </c>
      <c r="G37" s="52" t="str">
        <f>IFERROR(Table3[[#This Row],[Fuel Qty ]]*Table3[[#This Row],[EF (KgCO2e/mmbtu)]]*Table3[[#This Row],[HHV (mmbtu/fuel unit)]]/1000,"")</f>
        <v/>
      </c>
    </row>
    <row r="38" spans="1:7" x14ac:dyDescent="0.25">
      <c r="A38" s="51"/>
      <c r="B38" s="26"/>
      <c r="C38" s="23" t="str">
        <f>IFERROR(VLOOKUP(A38,'list items (hide)'!A:E,5,FALSE),"")</f>
        <v/>
      </c>
      <c r="D38" s="25"/>
      <c r="E38" s="23" t="str">
        <f>IFERROR(IF(Table3[[#This Row],[Fuel Source]]="In State", VLOOKUP(A38,'list items (hide)'!A:C,3,FALSE), VLOOKUP(A38,'list items (hide)'!A:C,2,FALSE)),"")</f>
        <v/>
      </c>
      <c r="F38" s="24" t="str">
        <f>IFERROR(VLOOKUP(A38,'list items (hide)'!A:D,4,FALSE),"")</f>
        <v/>
      </c>
      <c r="G38" s="52" t="str">
        <f>IFERROR(Table3[[#This Row],[Fuel Qty ]]*Table3[[#This Row],[EF (KgCO2e/mmbtu)]]*Table3[[#This Row],[HHV (mmbtu/fuel unit)]]/1000,"")</f>
        <v/>
      </c>
    </row>
    <row r="39" spans="1:7" x14ac:dyDescent="0.25">
      <c r="A39" s="51"/>
      <c r="B39" s="26"/>
      <c r="C39" s="23" t="str">
        <f>IFERROR(VLOOKUP(A39,'list items (hide)'!A:E,5,FALSE),"")</f>
        <v/>
      </c>
      <c r="D39" s="25"/>
      <c r="E39" s="23" t="str">
        <f>IFERROR(IF(Table3[[#This Row],[Fuel Source]]="In State", VLOOKUP(A39,'list items (hide)'!A:C,3,FALSE), VLOOKUP(A39,'list items (hide)'!A:C,2,FALSE)),"")</f>
        <v/>
      </c>
      <c r="F39" s="24" t="str">
        <f>IFERROR(VLOOKUP(A39,'list items (hide)'!A:D,4,FALSE),"")</f>
        <v/>
      </c>
      <c r="G39" s="52" t="str">
        <f>IFERROR(Table3[[#This Row],[Fuel Qty ]]*Table3[[#This Row],[EF (KgCO2e/mmbtu)]]*Table3[[#This Row],[HHV (mmbtu/fuel unit)]]/1000,"")</f>
        <v/>
      </c>
    </row>
    <row r="40" spans="1:7" x14ac:dyDescent="0.25">
      <c r="A40" s="51"/>
      <c r="B40" s="26"/>
      <c r="C40" s="23" t="str">
        <f>IFERROR(VLOOKUP(A40,'list items (hide)'!A:E,5,FALSE),"")</f>
        <v/>
      </c>
      <c r="D40" s="25"/>
      <c r="E40" s="23" t="str">
        <f>IFERROR(IF(Table3[[#This Row],[Fuel Source]]="In State", VLOOKUP(A40,'list items (hide)'!A:C,3,FALSE), VLOOKUP(A40,'list items (hide)'!A:C,2,FALSE)),"")</f>
        <v/>
      </c>
      <c r="F40" s="24" t="str">
        <f>IFERROR(VLOOKUP(A40,'list items (hide)'!A:D,4,FALSE),"")</f>
        <v/>
      </c>
      <c r="G40" s="52" t="str">
        <f>IFERROR(Table3[[#This Row],[Fuel Qty ]]*Table3[[#This Row],[EF (KgCO2e/mmbtu)]]*Table3[[#This Row],[HHV (mmbtu/fuel unit)]]/1000,"")</f>
        <v/>
      </c>
    </row>
    <row r="41" spans="1:7" x14ac:dyDescent="0.25">
      <c r="A41" s="51"/>
      <c r="B41" s="26"/>
      <c r="C41" s="23" t="str">
        <f>IFERROR(VLOOKUP(A41,'list items (hide)'!A:E,5,FALSE),"")</f>
        <v/>
      </c>
      <c r="D41" s="25"/>
      <c r="E41" s="23" t="str">
        <f>IFERROR(IF(Table3[[#This Row],[Fuel Source]]="In State", VLOOKUP(A41,'list items (hide)'!A:C,3,FALSE), VLOOKUP(A41,'list items (hide)'!A:C,2,FALSE)),"")</f>
        <v/>
      </c>
      <c r="F41" s="24" t="str">
        <f>IFERROR(VLOOKUP(A41,'list items (hide)'!A:D,4,FALSE),"")</f>
        <v/>
      </c>
      <c r="G41" s="52" t="str">
        <f>IFERROR(Table3[[#This Row],[Fuel Qty ]]*Table3[[#This Row],[EF (KgCO2e/mmbtu)]]*Table3[[#This Row],[HHV (mmbtu/fuel unit)]]/1000,"")</f>
        <v/>
      </c>
    </row>
    <row r="42" spans="1:7" x14ac:dyDescent="0.25">
      <c r="A42" s="51"/>
      <c r="B42" s="26"/>
      <c r="C42" s="23" t="str">
        <f>IFERROR(VLOOKUP(A42,'list items (hide)'!A:E,5,FALSE),"")</f>
        <v/>
      </c>
      <c r="D42" s="25"/>
      <c r="E42" s="23" t="str">
        <f>IFERROR(IF(Table3[[#This Row],[Fuel Source]]="In State", VLOOKUP(A42,'list items (hide)'!A:C,3,FALSE), VLOOKUP(A42,'list items (hide)'!A:C,2,FALSE)),"")</f>
        <v/>
      </c>
      <c r="F42" s="24" t="str">
        <f>IFERROR(VLOOKUP(A42,'list items (hide)'!A:D,4,FALSE),"")</f>
        <v/>
      </c>
      <c r="G42" s="52" t="str">
        <f>IFERROR(Table3[[#This Row],[Fuel Qty ]]*Table3[[#This Row],[EF (KgCO2e/mmbtu)]]*Table3[[#This Row],[HHV (mmbtu/fuel unit)]]/1000,"")</f>
        <v/>
      </c>
    </row>
    <row r="43" spans="1:7" x14ac:dyDescent="0.25">
      <c r="A43" s="51"/>
      <c r="B43" s="26"/>
      <c r="C43" s="23" t="str">
        <f>IFERROR(VLOOKUP(A43,'list items (hide)'!A:E,5,FALSE),"")</f>
        <v/>
      </c>
      <c r="D43" s="25"/>
      <c r="E43" s="23" t="str">
        <f>IFERROR(IF(Table3[[#This Row],[Fuel Source]]="In State", VLOOKUP(A43,'list items (hide)'!A:C,3,FALSE), VLOOKUP(A43,'list items (hide)'!A:C,2,FALSE)),"")</f>
        <v/>
      </c>
      <c r="F43" s="24" t="str">
        <f>IFERROR(VLOOKUP(A43,'list items (hide)'!A:D,4,FALSE),"")</f>
        <v/>
      </c>
      <c r="G43" s="52" t="str">
        <f>IFERROR(Table3[[#This Row],[Fuel Qty ]]*Table3[[#This Row],[EF (KgCO2e/mmbtu)]]*Table3[[#This Row],[HHV (mmbtu/fuel unit)]]/1000,"")</f>
        <v/>
      </c>
    </row>
    <row r="44" spans="1:7" x14ac:dyDescent="0.25">
      <c r="A44" s="51"/>
      <c r="B44" s="26"/>
      <c r="C44" s="23" t="str">
        <f>IFERROR(VLOOKUP(A44,'list items (hide)'!A:E,5,FALSE),"")</f>
        <v/>
      </c>
      <c r="D44" s="25"/>
      <c r="E44" s="23" t="str">
        <f>IFERROR(IF(Table3[[#This Row],[Fuel Source]]="In State", VLOOKUP(A44,'list items (hide)'!A:C,3,FALSE), VLOOKUP(A44,'list items (hide)'!A:C,2,FALSE)),"")</f>
        <v/>
      </c>
      <c r="F44" s="24" t="str">
        <f>IFERROR(VLOOKUP(A44,'list items (hide)'!A:D,4,FALSE),"")</f>
        <v/>
      </c>
      <c r="G44" s="52" t="str">
        <f>IFERROR(Table3[[#This Row],[Fuel Qty ]]*Table3[[#This Row],[EF (KgCO2e/mmbtu)]]*Table3[[#This Row],[HHV (mmbtu/fuel unit)]]/1000,"")</f>
        <v/>
      </c>
    </row>
    <row r="45" spans="1:7" x14ac:dyDescent="0.25">
      <c r="A45" s="51"/>
      <c r="B45" s="26"/>
      <c r="C45" s="23" t="str">
        <f>IFERROR(VLOOKUP(A45,'list items (hide)'!A:E,5,FALSE),"")</f>
        <v/>
      </c>
      <c r="D45" s="25"/>
      <c r="E45" s="23" t="str">
        <f>IFERROR(IF(Table3[[#This Row],[Fuel Source]]="In State", VLOOKUP(A45,'list items (hide)'!A:C,3,FALSE), VLOOKUP(A45,'list items (hide)'!A:C,2,FALSE)),"")</f>
        <v/>
      </c>
      <c r="F45" s="24" t="str">
        <f>IFERROR(VLOOKUP(A45,'list items (hide)'!A:D,4,FALSE),"")</f>
        <v/>
      </c>
      <c r="G45" s="52" t="str">
        <f>IFERROR(Table3[[#This Row],[Fuel Qty ]]*Table3[[#This Row],[EF (KgCO2e/mmbtu)]]*Table3[[#This Row],[HHV (mmbtu/fuel unit)]]/1000,"")</f>
        <v/>
      </c>
    </row>
    <row r="46" spans="1:7" x14ac:dyDescent="0.25">
      <c r="A46" s="51"/>
      <c r="B46" s="26"/>
      <c r="C46" s="23" t="str">
        <f>IFERROR(VLOOKUP(A46,'list items (hide)'!A:E,5,FALSE),"")</f>
        <v/>
      </c>
      <c r="D46" s="25"/>
      <c r="E46" s="23" t="str">
        <f>IFERROR(IF(Table3[[#This Row],[Fuel Source]]="In State", VLOOKUP(A46,'list items (hide)'!A:C,3,FALSE), VLOOKUP(A46,'list items (hide)'!A:C,2,FALSE)),"")</f>
        <v/>
      </c>
      <c r="F46" s="24" t="str">
        <f>IFERROR(VLOOKUP(A46,'list items (hide)'!A:D,4,FALSE),"")</f>
        <v/>
      </c>
      <c r="G46" s="52" t="str">
        <f>IFERROR(Table3[[#This Row],[Fuel Qty ]]*Table3[[#This Row],[EF (KgCO2e/mmbtu)]]*Table3[[#This Row],[HHV (mmbtu/fuel unit)]]/1000,"")</f>
        <v/>
      </c>
    </row>
    <row r="47" spans="1:7" x14ac:dyDescent="0.25">
      <c r="A47" s="51"/>
      <c r="B47" s="26"/>
      <c r="C47" s="23" t="str">
        <f>IFERROR(VLOOKUP(A47,'list items (hide)'!A:E,5,FALSE),"")</f>
        <v/>
      </c>
      <c r="D47" s="26"/>
      <c r="E47" s="23" t="str">
        <f>IFERROR(IF(Table3[[#This Row],[Fuel Source]]="In State", VLOOKUP(A47,'list items (hide)'!A:C,3,FALSE), VLOOKUP(A47,'list items (hide)'!A:C,2,FALSE)),"")</f>
        <v/>
      </c>
      <c r="F47" s="24" t="str">
        <f>IFERROR(VLOOKUP(A47,'list items (hide)'!A:D,4,FALSE),"")</f>
        <v/>
      </c>
      <c r="G47" s="52" t="str">
        <f>IFERROR(Table3[[#This Row],[Fuel Qty ]]*Table3[[#This Row],[EF (KgCO2e/mmbtu)]]*Table3[[#This Row],[HHV (mmbtu/fuel unit)]]/1000,"")</f>
        <v/>
      </c>
    </row>
    <row r="48" spans="1:7" ht="18" x14ac:dyDescent="0.35">
      <c r="A48" s="37"/>
      <c r="B48" s="20"/>
      <c r="C48" s="20"/>
      <c r="D48" s="20"/>
      <c r="E48" s="35"/>
      <c r="F48" s="36" t="s">
        <v>19</v>
      </c>
      <c r="G48" s="38">
        <f>SUMIF(Table3[Emissions CO2e (Mt)], "&gt;0")</f>
        <v>0</v>
      </c>
    </row>
    <row r="49" spans="1:7" ht="15.75" thickBot="1" x14ac:dyDescent="0.3">
      <c r="A49" s="39" t="s">
        <v>20</v>
      </c>
      <c r="B49" s="40"/>
      <c r="C49" s="40"/>
      <c r="D49" s="40"/>
      <c r="E49" s="40"/>
      <c r="F49" s="40"/>
      <c r="G49" s="41"/>
    </row>
  </sheetData>
  <sheetProtection algorithmName="SHA-512" hashValue="wWjv3Gjb2kOE5mVQPJmx7heL/KE1oK0QBnrnxG3TYdy5PEFWCKs3ajA5GNFhzv+Q4ZTvYwRfbzLFvc8t1u67EA==" saltValue="x4pRLl1C8QFpNI+c+y5gzA==" spinCount="100000" sheet="1" objects="1" scenarios="1"/>
  <mergeCells count="8">
    <mergeCell ref="A1:G1"/>
    <mergeCell ref="A14:B14"/>
    <mergeCell ref="A11:G11"/>
    <mergeCell ref="A9:G9"/>
    <mergeCell ref="A10:G10"/>
    <mergeCell ref="A4:G4"/>
    <mergeCell ref="A5:G5"/>
    <mergeCell ref="A6:G6"/>
  </mergeCells>
  <dataValidations count="2">
    <dataValidation type="list" allowBlank="1" showInputMessage="1" showErrorMessage="1" sqref="N18" xr:uid="{6E014C06-D477-4A96-AA7C-08E58B2A1783}">
      <formula1>Fuel_Type</formula1>
    </dataValidation>
    <dataValidation type="list" allowBlank="1" showInputMessage="1" showErrorMessage="1" sqref="D17:D47" xr:uid="{2B24099D-C250-46B4-B139-26EBCDB362B1}">
      <formula1>Emissions_Type</formula1>
    </dataValidation>
  </dataValidations>
  <pageMargins left="0.7" right="0.7" top="0.75" bottom="0.75" header="0.3" footer="0.3"/>
  <pageSetup fitToHeight="0" orientation="portrait"/>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D80314FD-A63A-41CC-947A-C6BD8016E484}">
          <x14:formula1>
            <xm:f>'list items (hide)'!$A$2:$A$36</xm:f>
          </x14:formula1>
          <xm:sqref>A17 A18 A19:A22 A24:A47</xm:sqref>
        </x14:dataValidation>
        <x14:dataValidation type="list" allowBlank="1" showInputMessage="1" showErrorMessage="1" errorTitle="Invalid Entry" error="Please select a fuel from the list. If your fuel is not in the list choose the most similar fuel for estimation purposes. " xr:uid="{71948402-6FF3-471A-831B-C04E8D44DB39}">
          <x14:formula1>
            <xm:f>'list items (hide)'!$A$2:$A$36</xm:f>
          </x14:formula1>
          <xm:sqref>A23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E6636-851C-4DE6-93DF-4067ED6C81A8}">
  <dimension ref="A1:H48"/>
  <sheetViews>
    <sheetView workbookViewId="0">
      <pane ySplit="1" topLeftCell="A13" activePane="bottomLeft" state="frozen"/>
      <selection pane="bottomLeft" activeCell="E13" sqref="E13"/>
    </sheetView>
  </sheetViews>
  <sheetFormatPr defaultRowHeight="15" x14ac:dyDescent="0.25"/>
  <cols>
    <col min="1" max="1" width="30.7109375" customWidth="1"/>
    <col min="2" max="2" width="17.28515625" customWidth="1"/>
    <col min="3" max="3" width="21.85546875" bestFit="1" customWidth="1"/>
    <col min="4" max="4" width="20.42578125" bestFit="1" customWidth="1"/>
    <col min="5" max="5" width="20.85546875" bestFit="1" customWidth="1"/>
    <col min="6" max="6" width="20" bestFit="1" customWidth="1"/>
    <col min="7" max="7" width="12.28515625" bestFit="1" customWidth="1"/>
    <col min="8" max="8" width="18.5703125" customWidth="1"/>
  </cols>
  <sheetData>
    <row r="1" spans="1:8" ht="45" x14ac:dyDescent="0.25">
      <c r="A1" s="66" t="s">
        <v>21</v>
      </c>
      <c r="B1" s="66" t="s">
        <v>22</v>
      </c>
      <c r="C1" s="66" t="s">
        <v>23</v>
      </c>
      <c r="D1" s="66" t="s">
        <v>24</v>
      </c>
      <c r="E1" s="66" t="s">
        <v>25</v>
      </c>
      <c r="F1" s="66" t="s">
        <v>26</v>
      </c>
      <c r="G1" s="66" t="s">
        <v>27</v>
      </c>
      <c r="H1" s="66" t="s">
        <v>28</v>
      </c>
    </row>
    <row r="2" spans="1:8" x14ac:dyDescent="0.25">
      <c r="A2" s="4" t="s">
        <v>29</v>
      </c>
      <c r="B2" s="4" t="s">
        <v>30</v>
      </c>
      <c r="C2" s="4"/>
      <c r="D2" s="4"/>
      <c r="E2" s="4"/>
      <c r="F2" s="4"/>
      <c r="G2" s="4"/>
      <c r="H2" s="4"/>
    </row>
    <row r="3" spans="1:8" x14ac:dyDescent="0.25">
      <c r="A3" s="5" t="s">
        <v>31</v>
      </c>
      <c r="B3" s="5">
        <v>25.09</v>
      </c>
      <c r="C3" s="5">
        <v>103.69</v>
      </c>
      <c r="D3" s="5">
        <v>11</v>
      </c>
      <c r="E3" s="5">
        <v>1.6</v>
      </c>
      <c r="F3" s="5">
        <v>41.939</v>
      </c>
      <c r="G3" s="5">
        <f>C3+(D3*84/1000)+(E3*264/1000)+F3</f>
        <v>146.97540000000001</v>
      </c>
      <c r="H3" s="5">
        <f>C3+(D3*84/1000)+(E3*264/1000)</f>
        <v>105.0364</v>
      </c>
    </row>
    <row r="4" spans="1:8" x14ac:dyDescent="0.25">
      <c r="A4" s="5" t="s">
        <v>32</v>
      </c>
      <c r="B4" s="5">
        <v>24.93</v>
      </c>
      <c r="C4" s="5">
        <v>93.28</v>
      </c>
      <c r="D4" s="5">
        <v>11</v>
      </c>
      <c r="E4" s="5">
        <v>1.6</v>
      </c>
      <c r="F4" s="5">
        <v>41.939</v>
      </c>
      <c r="G4" s="5">
        <f>C4+(D4*84/1000)+(E4*264/1000)+F4</f>
        <v>136.56540000000001</v>
      </c>
      <c r="H4" s="5">
        <f>C4+(D4*84/1000)+(E4*264/1000)</f>
        <v>94.626400000000004</v>
      </c>
    </row>
    <row r="5" spans="1:8" x14ac:dyDescent="0.25">
      <c r="A5" s="5" t="s">
        <v>33</v>
      </c>
      <c r="B5" s="5">
        <v>17.25</v>
      </c>
      <c r="C5" s="5">
        <v>97.17</v>
      </c>
      <c r="D5" s="5">
        <v>11</v>
      </c>
      <c r="E5" s="5">
        <v>1.6</v>
      </c>
      <c r="F5" s="5">
        <v>41.939</v>
      </c>
      <c r="G5" s="5">
        <f>C5+(D5*84/1000)+(E5*264/1000)+F5</f>
        <v>140.4554</v>
      </c>
      <c r="H5" s="5">
        <f>C5+(D5*84/1000)+(E5*264/1000)</f>
        <v>98.516400000000004</v>
      </c>
    </row>
    <row r="6" spans="1:8" x14ac:dyDescent="0.25">
      <c r="A6" s="5" t="s">
        <v>34</v>
      </c>
      <c r="B6" s="5">
        <v>14.21</v>
      </c>
      <c r="C6" s="5">
        <v>97.72</v>
      </c>
      <c r="D6" s="5">
        <v>11</v>
      </c>
      <c r="E6" s="5">
        <v>1.6</v>
      </c>
      <c r="F6" s="5">
        <v>41.939</v>
      </c>
      <c r="G6" s="5">
        <f>C6+(D6*84/1000)+(E6*264/1000)+F6</f>
        <v>141.00540000000001</v>
      </c>
      <c r="H6" s="5">
        <f>C6+(D6*84/1000)+(E6*264/1000)</f>
        <v>99.066400000000002</v>
      </c>
    </row>
    <row r="7" spans="1:8" x14ac:dyDescent="0.25">
      <c r="A7" s="5" t="s">
        <v>35</v>
      </c>
      <c r="B7" s="5">
        <v>24.8</v>
      </c>
      <c r="C7" s="5">
        <v>113.67</v>
      </c>
      <c r="D7" s="5">
        <v>11</v>
      </c>
      <c r="E7" s="5">
        <v>1.6</v>
      </c>
      <c r="F7" s="5">
        <v>41.939</v>
      </c>
      <c r="G7" s="5">
        <f>C7+(D7*84/1000)+(E7*264/1000)+F7</f>
        <v>156.9554</v>
      </c>
      <c r="H7" s="5">
        <f>C7+(D7*84/1000)+(E7*264/1000)</f>
        <v>115.0164</v>
      </c>
    </row>
    <row r="8" spans="1:8" x14ac:dyDescent="0.25">
      <c r="A8" s="4" t="s">
        <v>36</v>
      </c>
      <c r="B8" s="4" t="s">
        <v>37</v>
      </c>
      <c r="C8" s="4"/>
      <c r="D8" s="4"/>
      <c r="E8" s="4"/>
      <c r="F8" s="4"/>
      <c r="G8" s="4"/>
      <c r="H8" s="4"/>
    </row>
    <row r="9" spans="1:8" x14ac:dyDescent="0.25">
      <c r="A9" s="5" t="s">
        <v>38</v>
      </c>
      <c r="B9" s="5">
        <v>0.13900000000000001</v>
      </c>
      <c r="C9" s="5">
        <v>73.25</v>
      </c>
      <c r="D9" s="5">
        <v>3</v>
      </c>
      <c r="E9" s="5">
        <v>0.6</v>
      </c>
      <c r="F9" s="5">
        <v>23.54</v>
      </c>
      <c r="G9" s="5">
        <f t="shared" ref="G9:G24" si="0">C9+(D9*84/1000)+(E9*264/1000)+F9</f>
        <v>97.200400000000002</v>
      </c>
      <c r="H9" s="5">
        <f t="shared" ref="H9:H24" si="1">C9+(D9*84/1000)+(E9*264/1000)</f>
        <v>73.660399999999996</v>
      </c>
    </row>
    <row r="10" spans="1:8" x14ac:dyDescent="0.25">
      <c r="A10" s="5" t="s">
        <v>39</v>
      </c>
      <c r="B10" s="5">
        <v>0.13800000000000001</v>
      </c>
      <c r="C10" s="5">
        <v>73.959999999999994</v>
      </c>
      <c r="D10" s="5">
        <v>3</v>
      </c>
      <c r="E10" s="5">
        <v>0.6</v>
      </c>
      <c r="F10" s="5">
        <v>23.54</v>
      </c>
      <c r="G10" s="5">
        <f t="shared" si="0"/>
        <v>97.910399999999981</v>
      </c>
      <c r="H10" s="5">
        <f t="shared" si="1"/>
        <v>74.370399999999989</v>
      </c>
    </row>
    <row r="11" spans="1:8" x14ac:dyDescent="0.25">
      <c r="A11" s="5" t="s">
        <v>40</v>
      </c>
      <c r="B11" s="5">
        <v>0.14599999999999999</v>
      </c>
      <c r="C11" s="5">
        <v>75.040000000000006</v>
      </c>
      <c r="D11" s="5">
        <v>3</v>
      </c>
      <c r="E11" s="5">
        <v>0.6</v>
      </c>
      <c r="F11" s="5">
        <v>23.54</v>
      </c>
      <c r="G11" s="5">
        <f t="shared" si="0"/>
        <v>98.990399999999994</v>
      </c>
      <c r="H11" s="5">
        <f t="shared" si="1"/>
        <v>75.450400000000002</v>
      </c>
    </row>
    <row r="12" spans="1:8" x14ac:dyDescent="0.25">
      <c r="A12" s="5" t="s">
        <v>41</v>
      </c>
      <c r="B12" s="5">
        <v>0.13500000000000001</v>
      </c>
      <c r="C12" s="5">
        <v>75.2</v>
      </c>
      <c r="D12" s="5">
        <v>3</v>
      </c>
      <c r="E12" s="5">
        <v>0.6</v>
      </c>
      <c r="F12" s="5">
        <v>18.193000000000001</v>
      </c>
      <c r="G12" s="5">
        <f t="shared" si="0"/>
        <v>93.803399999999996</v>
      </c>
      <c r="H12" s="5">
        <f t="shared" si="1"/>
        <v>75.610399999999998</v>
      </c>
    </row>
    <row r="13" spans="1:8" x14ac:dyDescent="0.25">
      <c r="A13" s="5" t="s">
        <v>42</v>
      </c>
      <c r="B13" s="5">
        <v>9.1999999999999998E-2</v>
      </c>
      <c r="C13" s="5">
        <v>62.98</v>
      </c>
      <c r="D13" s="5">
        <v>3</v>
      </c>
      <c r="E13" s="5">
        <v>0.6</v>
      </c>
      <c r="F13" s="5">
        <v>26.474</v>
      </c>
      <c r="G13" s="5">
        <f t="shared" si="0"/>
        <v>89.864400000000003</v>
      </c>
      <c r="H13" s="5">
        <f t="shared" si="1"/>
        <v>63.3904</v>
      </c>
    </row>
    <row r="14" spans="1:8" x14ac:dyDescent="0.25">
      <c r="A14" s="5" t="s">
        <v>43</v>
      </c>
      <c r="B14" s="5">
        <v>9.0999999999999998E-2</v>
      </c>
      <c r="C14" s="5">
        <v>65.95</v>
      </c>
      <c r="D14" s="5">
        <v>3</v>
      </c>
      <c r="E14" s="5">
        <v>0.6</v>
      </c>
      <c r="F14" s="5">
        <v>26.474</v>
      </c>
      <c r="G14" s="5">
        <f t="shared" si="0"/>
        <v>92.834400000000002</v>
      </c>
      <c r="H14" s="5">
        <f t="shared" si="1"/>
        <v>66.360399999999998</v>
      </c>
    </row>
    <row r="15" spans="1:8" x14ac:dyDescent="0.25">
      <c r="A15" s="5" t="s">
        <v>44</v>
      </c>
      <c r="B15" s="5">
        <v>9.6000000000000002E-2</v>
      </c>
      <c r="C15" s="5">
        <v>62.64</v>
      </c>
      <c r="D15" s="5">
        <v>3</v>
      </c>
      <c r="E15" s="5">
        <v>0.6</v>
      </c>
      <c r="F15" s="5">
        <v>40.877000000000002</v>
      </c>
      <c r="G15" s="5">
        <f t="shared" si="0"/>
        <v>103.92740000000001</v>
      </c>
      <c r="H15" s="5">
        <f t="shared" si="1"/>
        <v>63.050400000000003</v>
      </c>
    </row>
    <row r="16" spans="1:8" x14ac:dyDescent="0.25">
      <c r="A16" s="5" t="s">
        <v>45</v>
      </c>
      <c r="B16" s="5">
        <v>0.1</v>
      </c>
      <c r="C16" s="5">
        <v>67.430000000000007</v>
      </c>
      <c r="D16" s="5">
        <v>3</v>
      </c>
      <c r="E16" s="5">
        <v>0.6</v>
      </c>
      <c r="F16" s="5">
        <v>40.877000000000002</v>
      </c>
      <c r="G16" s="5">
        <f t="shared" si="0"/>
        <v>108.7174</v>
      </c>
      <c r="H16" s="5">
        <f t="shared" si="1"/>
        <v>67.840400000000002</v>
      </c>
    </row>
    <row r="17" spans="1:8" x14ac:dyDescent="0.25">
      <c r="A17" s="5" t="s">
        <v>46</v>
      </c>
      <c r="B17" s="5">
        <v>9.7000000000000003E-2</v>
      </c>
      <c r="C17" s="5">
        <v>64.91</v>
      </c>
      <c r="D17" s="5">
        <v>3</v>
      </c>
      <c r="E17" s="5">
        <v>0.6</v>
      </c>
      <c r="F17" s="5">
        <v>40.877000000000002</v>
      </c>
      <c r="G17" s="5">
        <f t="shared" si="0"/>
        <v>106.19739999999999</v>
      </c>
      <c r="H17" s="5">
        <f t="shared" si="1"/>
        <v>65.320399999999992</v>
      </c>
    </row>
    <row r="18" spans="1:8" x14ac:dyDescent="0.25">
      <c r="A18" s="5" t="s">
        <v>47</v>
      </c>
      <c r="B18" s="5">
        <v>0.10299999999999999</v>
      </c>
      <c r="C18" s="5">
        <v>67.739999999999995</v>
      </c>
      <c r="D18" s="5">
        <v>3</v>
      </c>
      <c r="E18" s="5">
        <v>0.6</v>
      </c>
      <c r="F18" s="5">
        <v>40.877000000000002</v>
      </c>
      <c r="G18" s="5">
        <f t="shared" si="0"/>
        <v>109.0274</v>
      </c>
      <c r="H18" s="5">
        <f t="shared" si="1"/>
        <v>68.150399999999991</v>
      </c>
    </row>
    <row r="19" spans="1:8" x14ac:dyDescent="0.25">
      <c r="A19" s="5" t="s">
        <v>48</v>
      </c>
      <c r="B19" s="5">
        <v>0.10100000000000001</v>
      </c>
      <c r="C19" s="5">
        <v>65.150000000000006</v>
      </c>
      <c r="D19" s="5">
        <v>3</v>
      </c>
      <c r="E19" s="5">
        <v>0.6</v>
      </c>
      <c r="F19" s="5">
        <v>40.877000000000002</v>
      </c>
      <c r="G19" s="5">
        <f t="shared" si="0"/>
        <v>106.4374</v>
      </c>
      <c r="H19" s="5">
        <f t="shared" si="1"/>
        <v>65.560400000000001</v>
      </c>
    </row>
    <row r="20" spans="1:8" x14ac:dyDescent="0.25">
      <c r="A20" s="5" t="s">
        <v>49</v>
      </c>
      <c r="B20" s="5">
        <v>0.10299999999999999</v>
      </c>
      <c r="C20" s="5">
        <v>67.73</v>
      </c>
      <c r="D20" s="5">
        <v>3</v>
      </c>
      <c r="E20" s="5">
        <v>0.6</v>
      </c>
      <c r="F20" s="5">
        <v>40.877000000000002</v>
      </c>
      <c r="G20" s="5">
        <f t="shared" si="0"/>
        <v>109.01740000000001</v>
      </c>
      <c r="H20" s="5">
        <f t="shared" si="1"/>
        <v>68.1404</v>
      </c>
    </row>
    <row r="21" spans="1:8" x14ac:dyDescent="0.25">
      <c r="A21" s="5" t="s">
        <v>50</v>
      </c>
      <c r="B21" s="5">
        <v>0.11</v>
      </c>
      <c r="C21" s="5">
        <v>66.83</v>
      </c>
      <c r="D21" s="5">
        <v>3</v>
      </c>
      <c r="E21" s="5">
        <v>0.6</v>
      </c>
      <c r="F21" s="5">
        <v>28.866</v>
      </c>
      <c r="G21" s="5">
        <f t="shared" si="0"/>
        <v>96.106399999999994</v>
      </c>
      <c r="H21" s="5">
        <f t="shared" si="1"/>
        <v>67.240399999999994</v>
      </c>
    </row>
    <row r="22" spans="1:8" x14ac:dyDescent="0.25">
      <c r="A22" s="5" t="s">
        <v>51</v>
      </c>
      <c r="B22" s="5">
        <v>0.125</v>
      </c>
      <c r="C22" s="5">
        <v>70.22</v>
      </c>
      <c r="D22" s="5">
        <v>3</v>
      </c>
      <c r="E22" s="5">
        <v>0.6</v>
      </c>
      <c r="F22" s="5">
        <v>28.866</v>
      </c>
      <c r="G22" s="5">
        <f t="shared" si="0"/>
        <v>99.496399999999994</v>
      </c>
      <c r="H22" s="5">
        <f t="shared" si="1"/>
        <v>70.630399999999995</v>
      </c>
    </row>
    <row r="23" spans="1:8" x14ac:dyDescent="0.25">
      <c r="A23" s="5" t="s">
        <v>52</v>
      </c>
      <c r="B23" s="5">
        <v>0.12</v>
      </c>
      <c r="C23" s="5">
        <v>69.25</v>
      </c>
      <c r="D23" s="5">
        <v>3</v>
      </c>
      <c r="E23" s="5">
        <v>0.6</v>
      </c>
      <c r="F23" s="5">
        <v>18.193000000000001</v>
      </c>
      <c r="G23" s="5">
        <f t="shared" si="0"/>
        <v>87.853399999999993</v>
      </c>
      <c r="H23" s="5">
        <f t="shared" si="1"/>
        <v>69.660399999999996</v>
      </c>
    </row>
    <row r="24" spans="1:8" x14ac:dyDescent="0.25">
      <c r="A24" s="5" t="s">
        <v>53</v>
      </c>
      <c r="B24" s="5">
        <v>0.13500000000000001</v>
      </c>
      <c r="C24" s="5">
        <v>72.22</v>
      </c>
      <c r="D24" s="5">
        <v>3</v>
      </c>
      <c r="E24" s="5">
        <v>0.6</v>
      </c>
      <c r="F24" s="5">
        <v>18.193000000000001</v>
      </c>
      <c r="G24" s="5">
        <f t="shared" si="0"/>
        <v>90.823399999999992</v>
      </c>
      <c r="H24" s="5">
        <f t="shared" si="1"/>
        <v>72.630399999999995</v>
      </c>
    </row>
    <row r="25" spans="1:8" x14ac:dyDescent="0.25">
      <c r="A25" s="4" t="s">
        <v>54</v>
      </c>
      <c r="B25" s="4" t="s">
        <v>55</v>
      </c>
      <c r="C25" s="4"/>
      <c r="D25" s="4"/>
      <c r="E25" s="4"/>
      <c r="F25" s="4"/>
      <c r="G25" s="4"/>
      <c r="H25" s="4"/>
    </row>
    <row r="26" spans="1:8" ht="15.75" thickBot="1" x14ac:dyDescent="0.3">
      <c r="A26" s="8" t="s">
        <v>56</v>
      </c>
      <c r="B26" s="8">
        <f>1.026*10^-3</f>
        <v>1.026E-3</v>
      </c>
      <c r="C26" s="8">
        <v>53.06</v>
      </c>
      <c r="D26" s="8">
        <v>1</v>
      </c>
      <c r="E26" s="8">
        <v>0.1</v>
      </c>
      <c r="F26" s="5">
        <v>40.877000000000002</v>
      </c>
      <c r="G26" s="5">
        <f>C26+(D26*84/1000)+(E26*264/1000)+F26</f>
        <v>94.04740000000001</v>
      </c>
      <c r="H26" s="5">
        <f>C26+(D26*84/1000)+(E26*264/1000)</f>
        <v>53.170400000000008</v>
      </c>
    </row>
    <row r="27" spans="1:8" x14ac:dyDescent="0.25">
      <c r="A27" s="9" t="s">
        <v>57</v>
      </c>
      <c r="B27" s="10" t="s">
        <v>58</v>
      </c>
      <c r="C27" s="10"/>
      <c r="D27" s="10"/>
      <c r="E27" s="11"/>
      <c r="F27" s="6"/>
      <c r="G27" s="4"/>
      <c r="H27" s="4"/>
    </row>
    <row r="28" spans="1:8" x14ac:dyDescent="0.25">
      <c r="A28" s="12" t="s">
        <v>59</v>
      </c>
      <c r="B28" s="5">
        <f>9.95*10^3</f>
        <v>9950</v>
      </c>
      <c r="C28" s="5">
        <v>90.7</v>
      </c>
      <c r="D28" s="5">
        <v>32</v>
      </c>
      <c r="E28" s="13">
        <v>4.2</v>
      </c>
      <c r="F28" s="7"/>
      <c r="G28" s="5"/>
      <c r="H28" s="5">
        <f>C28+(D28*84/1000)+(E28*264/1000)</f>
        <v>94.496800000000007</v>
      </c>
    </row>
    <row r="29" spans="1:8" x14ac:dyDescent="0.25">
      <c r="A29" s="12" t="s">
        <v>60</v>
      </c>
      <c r="B29" s="5">
        <v>28</v>
      </c>
      <c r="C29" s="5">
        <v>85.97</v>
      </c>
      <c r="D29" s="5">
        <v>32</v>
      </c>
      <c r="E29" s="13">
        <v>4.2</v>
      </c>
      <c r="F29" s="7"/>
      <c r="G29" s="5"/>
      <c r="H29" s="5">
        <f>C29+(D29*84/1000)+(E29*264/1000)</f>
        <v>89.766800000000003</v>
      </c>
    </row>
    <row r="30" spans="1:8" x14ac:dyDescent="0.25">
      <c r="A30" s="12" t="s">
        <v>61</v>
      </c>
      <c r="B30" s="5">
        <v>38</v>
      </c>
      <c r="C30" s="5">
        <v>75</v>
      </c>
      <c r="D30" s="5">
        <v>32</v>
      </c>
      <c r="E30" s="13">
        <v>4.2</v>
      </c>
      <c r="F30" s="7"/>
      <c r="G30" s="5"/>
      <c r="H30" s="5">
        <f>C30+(D30*84/1000)+(E30*264/1000)</f>
        <v>78.796800000000005</v>
      </c>
    </row>
    <row r="31" spans="1:8" x14ac:dyDescent="0.25">
      <c r="A31" s="14" t="s">
        <v>62</v>
      </c>
      <c r="B31" s="4" t="s">
        <v>30</v>
      </c>
      <c r="C31" s="4"/>
      <c r="D31" s="4"/>
      <c r="E31" s="15"/>
      <c r="F31" s="6"/>
      <c r="G31" s="4"/>
      <c r="H31" s="4"/>
    </row>
    <row r="32" spans="1:8" x14ac:dyDescent="0.25">
      <c r="A32" s="12" t="s">
        <v>63</v>
      </c>
      <c r="B32" s="5">
        <v>17.48</v>
      </c>
      <c r="C32" s="5">
        <v>93.8</v>
      </c>
      <c r="D32" s="5">
        <v>7.2</v>
      </c>
      <c r="E32" s="13">
        <v>3.6</v>
      </c>
      <c r="F32" s="7"/>
      <c r="G32" s="5"/>
      <c r="H32" s="5">
        <f>C32+(D32*84/1000)+(E32*264/1000)</f>
        <v>95.355199999999996</v>
      </c>
    </row>
    <row r="33" spans="1:8" x14ac:dyDescent="0.25">
      <c r="A33" s="12" t="s">
        <v>64</v>
      </c>
      <c r="B33" s="5">
        <v>8.25</v>
      </c>
      <c r="C33" s="5">
        <v>118.17</v>
      </c>
      <c r="D33" s="5">
        <v>32</v>
      </c>
      <c r="E33" s="13">
        <v>4.2</v>
      </c>
      <c r="F33" s="7"/>
      <c r="G33" s="5"/>
      <c r="H33" s="5">
        <f>C33+(D33*84/1000)+(E33*264/1000)</f>
        <v>121.96680000000001</v>
      </c>
    </row>
    <row r="34" spans="1:8" x14ac:dyDescent="0.25">
      <c r="A34" s="12" t="s">
        <v>65</v>
      </c>
      <c r="B34" s="5">
        <v>8</v>
      </c>
      <c r="C34" s="5">
        <v>111.84</v>
      </c>
      <c r="D34" s="5">
        <v>32</v>
      </c>
      <c r="E34" s="13">
        <v>4.2</v>
      </c>
      <c r="F34" s="7"/>
      <c r="G34" s="5"/>
      <c r="H34" s="5">
        <f>C34+(D34*84/1000)+(E34*264/1000)</f>
        <v>115.63680000000001</v>
      </c>
    </row>
    <row r="35" spans="1:8" x14ac:dyDescent="0.25">
      <c r="A35" s="12" t="s">
        <v>66</v>
      </c>
      <c r="B35" s="5">
        <v>10.39</v>
      </c>
      <c r="C35" s="5">
        <v>105.51</v>
      </c>
      <c r="D35" s="5">
        <v>32</v>
      </c>
      <c r="E35" s="13">
        <v>4.2</v>
      </c>
      <c r="F35" s="7"/>
      <c r="G35" s="5"/>
      <c r="H35" s="5">
        <f>C35+(D35*84/1000)+(E35*264/1000)</f>
        <v>109.30680000000001</v>
      </c>
    </row>
    <row r="36" spans="1:8" x14ac:dyDescent="0.25">
      <c r="A36" s="14" t="s">
        <v>67</v>
      </c>
      <c r="B36" s="4" t="s">
        <v>68</v>
      </c>
      <c r="C36" s="4"/>
      <c r="D36" s="4"/>
      <c r="E36" s="15"/>
      <c r="F36" s="6"/>
      <c r="G36" s="4"/>
      <c r="H36" s="4"/>
    </row>
    <row r="37" spans="1:8" x14ac:dyDescent="0.25">
      <c r="A37" s="12" t="s">
        <v>69</v>
      </c>
      <c r="B37" s="5">
        <f>0.485 * 10^-3</f>
        <v>4.8499999999999997E-4</v>
      </c>
      <c r="C37" s="5">
        <v>52.07</v>
      </c>
      <c r="D37" s="5">
        <v>3.2</v>
      </c>
      <c r="E37" s="13">
        <v>0.63</v>
      </c>
      <c r="F37" s="7"/>
      <c r="G37" s="5"/>
      <c r="H37" s="5">
        <f>C37+(D37*84/1000)+(E37*264/1000)</f>
        <v>52.505119999999998</v>
      </c>
    </row>
    <row r="38" spans="1:8" x14ac:dyDescent="0.25">
      <c r="A38" s="12" t="s">
        <v>70</v>
      </c>
      <c r="B38" s="5">
        <f>0.655* 10^-3</f>
        <v>6.5500000000000009E-4</v>
      </c>
      <c r="C38" s="5">
        <v>52.07</v>
      </c>
      <c r="D38" s="5">
        <v>3.2</v>
      </c>
      <c r="E38" s="13">
        <v>0.63</v>
      </c>
      <c r="F38" s="7"/>
      <c r="G38" s="5"/>
      <c r="H38" s="5">
        <f>C38+(D38*84/1000)+(E38*264/1000)</f>
        <v>52.505119999999998</v>
      </c>
    </row>
    <row r="39" spans="1:8" x14ac:dyDescent="0.25">
      <c r="A39" s="14" t="s">
        <v>71</v>
      </c>
      <c r="B39" s="4" t="s">
        <v>72</v>
      </c>
      <c r="C39" s="4"/>
      <c r="D39" s="4"/>
      <c r="E39" s="15"/>
      <c r="F39" s="6"/>
      <c r="G39" s="4"/>
      <c r="H39" s="4"/>
    </row>
    <row r="40" spans="1:8" x14ac:dyDescent="0.25">
      <c r="A40" s="12" t="s">
        <v>73</v>
      </c>
      <c r="B40" s="5">
        <v>8.4000000000000005E-2</v>
      </c>
      <c r="C40" s="5">
        <v>68.44</v>
      </c>
      <c r="D40" s="5">
        <v>1.1000000000000001</v>
      </c>
      <c r="E40" s="13">
        <v>0.11</v>
      </c>
      <c r="F40" s="7"/>
      <c r="G40" s="5"/>
      <c r="H40" s="5">
        <f>C40+(D40*84/1000)+(E40*264/1000)</f>
        <v>68.56143999999999</v>
      </c>
    </row>
    <row r="41" spans="1:8" x14ac:dyDescent="0.25">
      <c r="A41" s="12" t="s">
        <v>74</v>
      </c>
      <c r="B41" s="5">
        <v>0.128</v>
      </c>
      <c r="C41" s="5">
        <v>73.84</v>
      </c>
      <c r="D41" s="5">
        <v>1.1000000000000001</v>
      </c>
      <c r="E41" s="13">
        <v>0.11</v>
      </c>
      <c r="F41" s="7"/>
      <c r="G41" s="5"/>
      <c r="H41" s="5">
        <f>C41+(D41*84/1000)+(E41*264/1000)</f>
        <v>73.961439999999996</v>
      </c>
    </row>
    <row r="42" spans="1:8" x14ac:dyDescent="0.25">
      <c r="A42" s="12" t="s">
        <v>75</v>
      </c>
      <c r="B42" s="5">
        <v>0.125</v>
      </c>
      <c r="C42" s="5">
        <v>71.06</v>
      </c>
      <c r="D42" s="5">
        <v>1.1000000000000001</v>
      </c>
      <c r="E42" s="13">
        <v>0.11</v>
      </c>
      <c r="F42" s="7"/>
      <c r="G42" s="5"/>
      <c r="H42" s="5">
        <f>C42+(D42*84/1000)+(E42*264/1000)</f>
        <v>71.181439999999995</v>
      </c>
    </row>
    <row r="43" spans="1:8" ht="15.75" thickBot="1" x14ac:dyDescent="0.3">
      <c r="A43" s="16" t="s">
        <v>76</v>
      </c>
      <c r="B43" s="17">
        <v>0.12</v>
      </c>
      <c r="C43" s="17">
        <v>81.55</v>
      </c>
      <c r="D43" s="17">
        <v>1.1000000000000001</v>
      </c>
      <c r="E43" s="18">
        <v>0.11</v>
      </c>
      <c r="F43" s="7"/>
      <c r="G43" s="5"/>
      <c r="H43" s="5">
        <f>C43+(D43*84/1000)+(E43*264/1000)</f>
        <v>81.67143999999999</v>
      </c>
    </row>
    <row r="46" spans="1:8" x14ac:dyDescent="0.25">
      <c r="A46" t="s">
        <v>77</v>
      </c>
    </row>
    <row r="48" spans="1:8" x14ac:dyDescent="0.25">
      <c r="A48" t="s">
        <v>78</v>
      </c>
    </row>
  </sheetData>
  <sheetProtection algorithmName="SHA-512" hashValue="GwpOh8lAt+g+o5VZZ6PJ/QCCOvoDSywIyE9qfi8EEPkAiByfzRscXw3TxxFHCW/unLv7E4o/r9gZAkn9YCAnFg==" saltValue="nnwi0CUdhMMAHGLfmRdk5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CEC08-9B7B-4706-A101-6FB21A5D5128}">
  <dimension ref="A1:I91"/>
  <sheetViews>
    <sheetView tabSelected="1" workbookViewId="0">
      <selection sqref="A1:G1"/>
    </sheetView>
  </sheetViews>
  <sheetFormatPr defaultRowHeight="15" x14ac:dyDescent="0.25"/>
  <cols>
    <col min="1" max="1" width="21.140625" customWidth="1"/>
    <col min="2" max="2" width="39.28515625" customWidth="1"/>
    <col min="3" max="3" width="17.42578125" customWidth="1"/>
    <col min="4" max="4" width="9.28515625" customWidth="1"/>
    <col min="6" max="6" width="9.28515625" customWidth="1"/>
  </cols>
  <sheetData>
    <row r="1" spans="1:9" ht="26.25" x14ac:dyDescent="0.4">
      <c r="A1" s="130" t="s">
        <v>132</v>
      </c>
      <c r="B1" s="131"/>
      <c r="C1" s="131"/>
      <c r="D1" s="131"/>
      <c r="E1" s="131"/>
      <c r="F1" s="131"/>
      <c r="G1" s="132"/>
    </row>
    <row r="2" spans="1:9" ht="18.75" x14ac:dyDescent="0.3">
      <c r="A2" s="67" t="s">
        <v>1</v>
      </c>
      <c r="B2" s="68"/>
      <c r="C2" s="63"/>
      <c r="D2" s="63"/>
      <c r="E2" s="63"/>
      <c r="F2" s="63"/>
      <c r="G2" s="69"/>
    </row>
    <row r="3" spans="1:9" ht="30.75" customHeight="1" x14ac:dyDescent="0.25">
      <c r="A3" s="125" t="s">
        <v>2</v>
      </c>
      <c r="B3" s="119"/>
      <c r="C3" s="119"/>
      <c r="D3" s="119"/>
      <c r="E3" s="119"/>
      <c r="F3" s="119"/>
      <c r="G3" s="126"/>
      <c r="I3" s="61"/>
    </row>
    <row r="4" spans="1:9" ht="50.25" customHeight="1" x14ac:dyDescent="0.25">
      <c r="A4" s="127" t="s">
        <v>79</v>
      </c>
      <c r="B4" s="128"/>
      <c r="C4" s="128"/>
      <c r="D4" s="128"/>
      <c r="E4" s="128"/>
      <c r="F4" s="128"/>
      <c r="G4" s="129"/>
    </row>
    <row r="5" spans="1:9" ht="15" customHeight="1" x14ac:dyDescent="0.25">
      <c r="A5" s="93"/>
      <c r="B5" s="94"/>
      <c r="C5" s="94"/>
      <c r="D5" s="94"/>
      <c r="E5" s="94"/>
      <c r="F5" s="94"/>
      <c r="G5" s="95"/>
    </row>
    <row r="6" spans="1:9" ht="15" customHeight="1" x14ac:dyDescent="0.25">
      <c r="A6" s="67" t="s">
        <v>5</v>
      </c>
      <c r="B6" s="79"/>
      <c r="C6" s="79"/>
      <c r="D6" s="79"/>
      <c r="E6" s="79"/>
      <c r="F6" s="79"/>
      <c r="G6" s="80"/>
    </row>
    <row r="7" spans="1:9" ht="30" customHeight="1" x14ac:dyDescent="0.25">
      <c r="A7" s="133" t="s">
        <v>80</v>
      </c>
      <c r="B7" s="134"/>
      <c r="C7" s="134"/>
      <c r="D7" s="134"/>
      <c r="E7" s="134"/>
      <c r="F7" s="134"/>
      <c r="G7" s="135"/>
    </row>
    <row r="8" spans="1:9" ht="30" customHeight="1" x14ac:dyDescent="0.25">
      <c r="A8" s="136" t="s">
        <v>81</v>
      </c>
      <c r="B8" s="119"/>
      <c r="C8" s="119"/>
      <c r="D8" s="119"/>
      <c r="E8" s="119"/>
      <c r="F8" s="119"/>
      <c r="G8" s="126"/>
    </row>
    <row r="9" spans="1:9" ht="30" customHeight="1" x14ac:dyDescent="0.25">
      <c r="A9" s="137" t="s">
        <v>82</v>
      </c>
      <c r="B9" s="138"/>
      <c r="C9" s="138"/>
      <c r="D9" s="138"/>
      <c r="E9" s="138"/>
      <c r="F9" s="138"/>
      <c r="G9" s="81"/>
    </row>
    <row r="10" spans="1:9" ht="18" customHeight="1" x14ac:dyDescent="0.25">
      <c r="A10" s="91"/>
      <c r="B10" s="92"/>
      <c r="C10" s="92"/>
      <c r="D10" s="96"/>
      <c r="E10" s="96"/>
      <c r="F10" s="96"/>
      <c r="G10" s="97"/>
    </row>
    <row r="11" spans="1:9" ht="20.25" customHeight="1" x14ac:dyDescent="0.25">
      <c r="A11" s="141" t="s">
        <v>83</v>
      </c>
      <c r="B11" s="142"/>
      <c r="C11" s="142"/>
      <c r="D11" s="119"/>
      <c r="E11" s="119"/>
      <c r="F11" s="119"/>
      <c r="G11" s="89"/>
    </row>
    <row r="12" spans="1:9" ht="30" customHeight="1" x14ac:dyDescent="0.25">
      <c r="A12" s="90"/>
      <c r="B12" s="88"/>
      <c r="C12" s="88"/>
      <c r="D12" s="88"/>
      <c r="E12" s="88"/>
      <c r="F12" s="88"/>
      <c r="G12" s="89"/>
    </row>
    <row r="13" spans="1:9" ht="30" customHeight="1" x14ac:dyDescent="0.35">
      <c r="A13" s="100" t="s">
        <v>84</v>
      </c>
      <c r="B13" s="88"/>
      <c r="C13" s="88"/>
      <c r="D13" s="88"/>
      <c r="E13" s="88"/>
      <c r="F13" s="88"/>
      <c r="G13" s="89"/>
    </row>
    <row r="14" spans="1:9" ht="30" customHeight="1" x14ac:dyDescent="0.35">
      <c r="A14" s="100" t="s">
        <v>85</v>
      </c>
      <c r="B14" s="99"/>
      <c r="C14" s="99"/>
      <c r="D14" s="99"/>
      <c r="E14" s="99"/>
      <c r="F14" s="88"/>
      <c r="G14" s="89"/>
    </row>
    <row r="15" spans="1:9" ht="32.25" customHeight="1" x14ac:dyDescent="0.25">
      <c r="A15" s="113" t="s">
        <v>86</v>
      </c>
      <c r="B15" s="113"/>
      <c r="C15" s="113"/>
      <c r="D15" s="113"/>
      <c r="E15" s="113"/>
      <c r="F15" s="113"/>
      <c r="G15" s="143"/>
    </row>
    <row r="16" spans="1:9" ht="15" customHeight="1" x14ac:dyDescent="0.25">
      <c r="A16" s="101"/>
      <c r="B16" s="86"/>
      <c r="C16" s="86"/>
      <c r="D16" s="86"/>
      <c r="E16" s="86"/>
      <c r="F16" s="86"/>
      <c r="G16" s="87"/>
    </row>
    <row r="17" spans="1:8" ht="33.6" customHeight="1" x14ac:dyDescent="0.25">
      <c r="A17" s="98" t="s">
        <v>87</v>
      </c>
      <c r="B17" s="71" t="s">
        <v>88</v>
      </c>
      <c r="C17" s="72" t="s">
        <v>89</v>
      </c>
      <c r="D17" s="58"/>
      <c r="E17" s="20"/>
      <c r="F17" s="58"/>
      <c r="G17" s="59"/>
      <c r="H17" s="19"/>
    </row>
    <row r="18" spans="1:8" x14ac:dyDescent="0.25">
      <c r="A18" s="7">
        <v>1960</v>
      </c>
      <c r="B18" s="103"/>
      <c r="C18" s="70">
        <f t="shared" ref="C18:C49" si="0">B18*MCF*DOC*DOCF*F*(16/12)*(EXP(-k*($A$84-A18-1))-EXP(-k*($A$84-A18)))</f>
        <v>0</v>
      </c>
      <c r="D18" s="20"/>
      <c r="E18" s="54" t="s">
        <v>90</v>
      </c>
      <c r="F18" s="55">
        <v>1</v>
      </c>
      <c r="G18" s="53"/>
    </row>
    <row r="19" spans="1:8" x14ac:dyDescent="0.25">
      <c r="A19" s="7">
        <v>1961</v>
      </c>
      <c r="B19" s="103"/>
      <c r="C19" s="70">
        <f t="shared" si="0"/>
        <v>0</v>
      </c>
      <c r="D19" s="20"/>
      <c r="E19" s="56" t="s">
        <v>91</v>
      </c>
      <c r="F19" s="13">
        <v>0.22</v>
      </c>
      <c r="G19" s="53"/>
    </row>
    <row r="20" spans="1:8" x14ac:dyDescent="0.25">
      <c r="A20" s="7">
        <v>1962</v>
      </c>
      <c r="B20" s="103"/>
      <c r="C20" s="70">
        <f t="shared" si="0"/>
        <v>0</v>
      </c>
      <c r="D20" s="20"/>
      <c r="E20" s="56" t="s">
        <v>92</v>
      </c>
      <c r="F20" s="13">
        <v>0.5</v>
      </c>
      <c r="G20" s="53"/>
    </row>
    <row r="21" spans="1:8" x14ac:dyDescent="0.25">
      <c r="A21" s="7">
        <v>1963</v>
      </c>
      <c r="B21" s="103"/>
      <c r="C21" s="70">
        <f t="shared" si="0"/>
        <v>0</v>
      </c>
      <c r="D21" s="20"/>
      <c r="E21" s="56" t="s">
        <v>93</v>
      </c>
      <c r="F21" s="13">
        <v>0.5</v>
      </c>
      <c r="G21" s="53"/>
    </row>
    <row r="22" spans="1:8" ht="15.75" thickBot="1" x14ac:dyDescent="0.3">
      <c r="A22" s="7">
        <v>1964</v>
      </c>
      <c r="B22" s="103"/>
      <c r="C22" s="70">
        <f t="shared" si="0"/>
        <v>0</v>
      </c>
      <c r="D22" s="20"/>
      <c r="E22" s="57" t="s">
        <v>94</v>
      </c>
      <c r="F22" s="18">
        <v>3.7999999999999999E-2</v>
      </c>
      <c r="G22" s="53"/>
    </row>
    <row r="23" spans="1:8" x14ac:dyDescent="0.25">
      <c r="A23" s="7">
        <v>1965</v>
      </c>
      <c r="B23" s="103"/>
      <c r="C23" s="70">
        <f t="shared" si="0"/>
        <v>0</v>
      </c>
      <c r="D23" s="20"/>
      <c r="E23" s="77"/>
      <c r="F23" s="75"/>
      <c r="G23" s="53"/>
    </row>
    <row r="24" spans="1:8" x14ac:dyDescent="0.25">
      <c r="A24" s="7">
        <v>1966</v>
      </c>
      <c r="B24" s="103"/>
      <c r="C24" s="70">
        <f t="shared" si="0"/>
        <v>0</v>
      </c>
      <c r="D24" s="20"/>
      <c r="E24" s="20"/>
      <c r="F24" s="20"/>
      <c r="G24" s="53"/>
    </row>
    <row r="25" spans="1:8" x14ac:dyDescent="0.25">
      <c r="A25" s="7">
        <v>1967</v>
      </c>
      <c r="B25" s="103"/>
      <c r="C25" s="70">
        <f t="shared" si="0"/>
        <v>0</v>
      </c>
      <c r="D25" s="20"/>
      <c r="E25" s="20"/>
      <c r="F25" s="20"/>
      <c r="G25" s="53"/>
    </row>
    <row r="26" spans="1:8" x14ac:dyDescent="0.25">
      <c r="A26" s="7">
        <v>1968</v>
      </c>
      <c r="B26" s="103"/>
      <c r="C26" s="70">
        <f t="shared" si="0"/>
        <v>0</v>
      </c>
      <c r="D26" s="20"/>
      <c r="E26" s="20"/>
      <c r="F26" s="20"/>
      <c r="G26" s="53"/>
    </row>
    <row r="27" spans="1:8" x14ac:dyDescent="0.25">
      <c r="A27" s="7">
        <v>1969</v>
      </c>
      <c r="B27" s="103"/>
      <c r="C27" s="70">
        <f t="shared" si="0"/>
        <v>0</v>
      </c>
      <c r="D27" s="20"/>
      <c r="E27" s="20"/>
      <c r="F27" s="20"/>
      <c r="G27" s="53"/>
    </row>
    <row r="28" spans="1:8" x14ac:dyDescent="0.25">
      <c r="A28" s="7">
        <v>1970</v>
      </c>
      <c r="B28" s="103"/>
      <c r="C28" s="70">
        <f t="shared" si="0"/>
        <v>0</v>
      </c>
      <c r="D28" s="20"/>
      <c r="E28" s="20"/>
      <c r="F28" s="20"/>
      <c r="G28" s="53"/>
    </row>
    <row r="29" spans="1:8" x14ac:dyDescent="0.25">
      <c r="A29" s="7">
        <v>1971</v>
      </c>
      <c r="B29" s="103"/>
      <c r="C29" s="70">
        <f t="shared" si="0"/>
        <v>0</v>
      </c>
      <c r="D29" s="20"/>
      <c r="E29" s="20"/>
      <c r="F29" s="20"/>
      <c r="G29" s="53"/>
    </row>
    <row r="30" spans="1:8" x14ac:dyDescent="0.25">
      <c r="A30" s="7">
        <v>1972</v>
      </c>
      <c r="B30" s="103"/>
      <c r="C30" s="70">
        <f t="shared" si="0"/>
        <v>0</v>
      </c>
      <c r="D30" s="20"/>
      <c r="E30" s="20"/>
      <c r="F30" s="20"/>
      <c r="G30" s="53"/>
    </row>
    <row r="31" spans="1:8" x14ac:dyDescent="0.25">
      <c r="A31" s="7">
        <v>1973</v>
      </c>
      <c r="B31" s="103"/>
      <c r="C31" s="70">
        <f t="shared" si="0"/>
        <v>0</v>
      </c>
      <c r="D31" s="20"/>
      <c r="E31" s="20"/>
      <c r="F31" s="20"/>
      <c r="G31" s="53"/>
    </row>
    <row r="32" spans="1:8" x14ac:dyDescent="0.25">
      <c r="A32" s="7">
        <v>1974</v>
      </c>
      <c r="B32" s="103"/>
      <c r="C32" s="70">
        <f t="shared" si="0"/>
        <v>0</v>
      </c>
      <c r="D32" s="20"/>
      <c r="E32" s="20"/>
      <c r="F32" s="20"/>
      <c r="G32" s="53"/>
    </row>
    <row r="33" spans="1:7" x14ac:dyDescent="0.25">
      <c r="A33" s="7">
        <v>1975</v>
      </c>
      <c r="B33" s="103"/>
      <c r="C33" s="70">
        <f t="shared" si="0"/>
        <v>0</v>
      </c>
      <c r="D33" s="20"/>
      <c r="E33" s="20"/>
      <c r="F33" s="20"/>
      <c r="G33" s="53"/>
    </row>
    <row r="34" spans="1:7" x14ac:dyDescent="0.25">
      <c r="A34" s="7">
        <v>1976</v>
      </c>
      <c r="B34" s="103"/>
      <c r="C34" s="70">
        <f t="shared" si="0"/>
        <v>0</v>
      </c>
      <c r="D34" s="20"/>
      <c r="E34" s="20"/>
      <c r="F34" s="20"/>
      <c r="G34" s="53"/>
    </row>
    <row r="35" spans="1:7" x14ac:dyDescent="0.25">
      <c r="A35" s="7">
        <v>1977</v>
      </c>
      <c r="B35" s="103"/>
      <c r="C35" s="70">
        <f t="shared" si="0"/>
        <v>0</v>
      </c>
      <c r="D35" s="20"/>
      <c r="E35" s="20"/>
      <c r="F35" s="20"/>
      <c r="G35" s="53"/>
    </row>
    <row r="36" spans="1:7" x14ac:dyDescent="0.25">
      <c r="A36" s="7">
        <v>1978</v>
      </c>
      <c r="B36" s="103"/>
      <c r="C36" s="70">
        <f t="shared" si="0"/>
        <v>0</v>
      </c>
      <c r="D36" s="20"/>
      <c r="E36" s="20"/>
      <c r="F36" s="20"/>
      <c r="G36" s="53"/>
    </row>
    <row r="37" spans="1:7" x14ac:dyDescent="0.25">
      <c r="A37" s="7">
        <v>1979</v>
      </c>
      <c r="B37" s="103"/>
      <c r="C37" s="70">
        <f t="shared" si="0"/>
        <v>0</v>
      </c>
      <c r="D37" s="20"/>
      <c r="E37" s="20"/>
      <c r="F37" s="20"/>
      <c r="G37" s="53"/>
    </row>
    <row r="38" spans="1:7" x14ac:dyDescent="0.25">
      <c r="A38" s="7">
        <v>1980</v>
      </c>
      <c r="B38" s="103"/>
      <c r="C38" s="70">
        <f t="shared" si="0"/>
        <v>0</v>
      </c>
      <c r="D38" s="20"/>
      <c r="E38" s="20"/>
      <c r="F38" s="20"/>
      <c r="G38" s="53"/>
    </row>
    <row r="39" spans="1:7" x14ac:dyDescent="0.25">
      <c r="A39" s="7">
        <v>1981</v>
      </c>
      <c r="B39" s="103"/>
      <c r="C39" s="70">
        <f t="shared" si="0"/>
        <v>0</v>
      </c>
      <c r="D39" s="20"/>
      <c r="E39" s="20"/>
      <c r="F39" s="20"/>
      <c r="G39" s="53"/>
    </row>
    <row r="40" spans="1:7" x14ac:dyDescent="0.25">
      <c r="A40" s="7">
        <v>1982</v>
      </c>
      <c r="B40" s="103"/>
      <c r="C40" s="70">
        <f t="shared" si="0"/>
        <v>0</v>
      </c>
      <c r="D40" s="20"/>
      <c r="E40" s="20"/>
      <c r="F40" s="20"/>
      <c r="G40" s="53"/>
    </row>
    <row r="41" spans="1:7" x14ac:dyDescent="0.25">
      <c r="A41" s="7">
        <v>1983</v>
      </c>
      <c r="B41" s="103"/>
      <c r="C41" s="70">
        <f t="shared" si="0"/>
        <v>0</v>
      </c>
      <c r="D41" s="20"/>
      <c r="E41" s="20"/>
      <c r="F41" s="20"/>
      <c r="G41" s="53"/>
    </row>
    <row r="42" spans="1:7" x14ac:dyDescent="0.25">
      <c r="A42" s="7">
        <v>1984</v>
      </c>
      <c r="B42" s="103"/>
      <c r="C42" s="70">
        <f t="shared" si="0"/>
        <v>0</v>
      </c>
      <c r="D42" s="20"/>
      <c r="E42" s="20"/>
      <c r="F42" s="20"/>
      <c r="G42" s="53"/>
    </row>
    <row r="43" spans="1:7" x14ac:dyDescent="0.25">
      <c r="A43" s="7">
        <v>1985</v>
      </c>
      <c r="B43" s="103"/>
      <c r="C43" s="70">
        <f t="shared" si="0"/>
        <v>0</v>
      </c>
      <c r="D43" s="20"/>
      <c r="E43" s="20"/>
      <c r="F43" s="20"/>
      <c r="G43" s="53"/>
    </row>
    <row r="44" spans="1:7" x14ac:dyDescent="0.25">
      <c r="A44" s="7">
        <v>1986</v>
      </c>
      <c r="B44" s="103"/>
      <c r="C44" s="70">
        <f t="shared" si="0"/>
        <v>0</v>
      </c>
      <c r="D44" s="20"/>
      <c r="E44" s="20"/>
      <c r="F44" s="20"/>
      <c r="G44" s="53"/>
    </row>
    <row r="45" spans="1:7" x14ac:dyDescent="0.25">
      <c r="A45" s="7">
        <v>1987</v>
      </c>
      <c r="B45" s="103"/>
      <c r="C45" s="70">
        <f t="shared" si="0"/>
        <v>0</v>
      </c>
      <c r="D45" s="20"/>
      <c r="E45" s="20"/>
      <c r="F45" s="20"/>
      <c r="G45" s="53"/>
    </row>
    <row r="46" spans="1:7" x14ac:dyDescent="0.25">
      <c r="A46" s="7">
        <v>1988</v>
      </c>
      <c r="B46" s="103"/>
      <c r="C46" s="70">
        <f t="shared" si="0"/>
        <v>0</v>
      </c>
      <c r="D46" s="20"/>
      <c r="E46" s="20"/>
      <c r="F46" s="20"/>
      <c r="G46" s="53"/>
    </row>
    <row r="47" spans="1:7" x14ac:dyDescent="0.25">
      <c r="A47" s="7">
        <v>1989</v>
      </c>
      <c r="B47" s="103"/>
      <c r="C47" s="70">
        <f t="shared" si="0"/>
        <v>0</v>
      </c>
      <c r="D47" s="20"/>
      <c r="E47" s="20"/>
      <c r="F47" s="20"/>
      <c r="G47" s="53"/>
    </row>
    <row r="48" spans="1:7" x14ac:dyDescent="0.25">
      <c r="A48" s="7">
        <v>1990</v>
      </c>
      <c r="B48" s="103"/>
      <c r="C48" s="70">
        <f t="shared" si="0"/>
        <v>0</v>
      </c>
      <c r="D48" s="20"/>
      <c r="E48" s="20"/>
      <c r="F48" s="20"/>
      <c r="G48" s="53"/>
    </row>
    <row r="49" spans="1:7" x14ac:dyDescent="0.25">
      <c r="A49" s="7">
        <v>1991</v>
      </c>
      <c r="B49" s="103"/>
      <c r="C49" s="70">
        <f t="shared" si="0"/>
        <v>0</v>
      </c>
      <c r="D49" s="20"/>
      <c r="E49" s="20"/>
      <c r="F49" s="20"/>
      <c r="G49" s="53"/>
    </row>
    <row r="50" spans="1:7" x14ac:dyDescent="0.25">
      <c r="A50" s="7">
        <v>1992</v>
      </c>
      <c r="B50" s="103"/>
      <c r="C50" s="70">
        <f t="shared" ref="C50:C81" si="1">B50*MCF*DOC*DOCF*F*(16/12)*(EXP(-k*($A$84-A50-1))-EXP(-k*($A$84-A50)))</f>
        <v>0</v>
      </c>
      <c r="D50" s="20"/>
      <c r="E50" s="20"/>
      <c r="F50" s="20"/>
      <c r="G50" s="53"/>
    </row>
    <row r="51" spans="1:7" x14ac:dyDescent="0.25">
      <c r="A51" s="7">
        <v>1993</v>
      </c>
      <c r="B51" s="103"/>
      <c r="C51" s="70">
        <f t="shared" si="1"/>
        <v>0</v>
      </c>
      <c r="D51" s="20"/>
      <c r="E51" s="20"/>
      <c r="F51" s="20"/>
      <c r="G51" s="53"/>
    </row>
    <row r="52" spans="1:7" x14ac:dyDescent="0.25">
      <c r="A52" s="7">
        <v>1994</v>
      </c>
      <c r="B52" s="103"/>
      <c r="C52" s="70">
        <f t="shared" si="1"/>
        <v>0</v>
      </c>
      <c r="D52" s="20"/>
      <c r="E52" s="20"/>
      <c r="F52" s="20"/>
      <c r="G52" s="53"/>
    </row>
    <row r="53" spans="1:7" x14ac:dyDescent="0.25">
      <c r="A53" s="7">
        <v>1995</v>
      </c>
      <c r="B53" s="103"/>
      <c r="C53" s="70">
        <f t="shared" si="1"/>
        <v>0</v>
      </c>
      <c r="D53" s="20"/>
      <c r="E53" s="20"/>
      <c r="F53" s="20"/>
      <c r="G53" s="53"/>
    </row>
    <row r="54" spans="1:7" x14ac:dyDescent="0.25">
      <c r="A54" s="7">
        <v>1996</v>
      </c>
      <c r="B54" s="103"/>
      <c r="C54" s="70">
        <f t="shared" si="1"/>
        <v>0</v>
      </c>
      <c r="D54" s="20"/>
      <c r="E54" s="20"/>
      <c r="F54" s="20"/>
      <c r="G54" s="53"/>
    </row>
    <row r="55" spans="1:7" x14ac:dyDescent="0.25">
      <c r="A55" s="7">
        <v>1997</v>
      </c>
      <c r="B55" s="103"/>
      <c r="C55" s="70">
        <f t="shared" si="1"/>
        <v>0</v>
      </c>
      <c r="D55" s="20"/>
      <c r="E55" s="20"/>
      <c r="F55" s="20"/>
      <c r="G55" s="53"/>
    </row>
    <row r="56" spans="1:7" x14ac:dyDescent="0.25">
      <c r="A56" s="7">
        <v>1998</v>
      </c>
      <c r="B56" s="103"/>
      <c r="C56" s="70">
        <f t="shared" si="1"/>
        <v>0</v>
      </c>
      <c r="D56" s="20"/>
      <c r="E56" s="20"/>
      <c r="F56" s="20"/>
      <c r="G56" s="53"/>
    </row>
    <row r="57" spans="1:7" x14ac:dyDescent="0.25">
      <c r="A57" s="7">
        <v>1999</v>
      </c>
      <c r="B57" s="103"/>
      <c r="C57" s="70">
        <f t="shared" si="1"/>
        <v>0</v>
      </c>
      <c r="D57" s="20"/>
      <c r="E57" s="20"/>
      <c r="F57" s="20"/>
      <c r="G57" s="53"/>
    </row>
    <row r="58" spans="1:7" x14ac:dyDescent="0.25">
      <c r="A58" s="7">
        <v>2000</v>
      </c>
      <c r="B58" s="103"/>
      <c r="C58" s="70">
        <f t="shared" si="1"/>
        <v>0</v>
      </c>
      <c r="D58" s="20"/>
      <c r="E58" s="20"/>
      <c r="F58" s="20"/>
      <c r="G58" s="53"/>
    </row>
    <row r="59" spans="1:7" x14ac:dyDescent="0.25">
      <c r="A59" s="7">
        <v>2001</v>
      </c>
      <c r="B59" s="103"/>
      <c r="C59" s="70">
        <f t="shared" si="1"/>
        <v>0</v>
      </c>
      <c r="D59" s="20"/>
      <c r="E59" s="20"/>
      <c r="F59" s="20"/>
      <c r="G59" s="53"/>
    </row>
    <row r="60" spans="1:7" x14ac:dyDescent="0.25">
      <c r="A60" s="7">
        <v>2002</v>
      </c>
      <c r="B60" s="103"/>
      <c r="C60" s="70">
        <f t="shared" si="1"/>
        <v>0</v>
      </c>
      <c r="D60" s="20"/>
      <c r="E60" s="20"/>
      <c r="F60" s="20"/>
      <c r="G60" s="53"/>
    </row>
    <row r="61" spans="1:7" x14ac:dyDescent="0.25">
      <c r="A61" s="7">
        <v>2003</v>
      </c>
      <c r="B61" s="103"/>
      <c r="C61" s="70">
        <f t="shared" si="1"/>
        <v>0</v>
      </c>
      <c r="D61" s="20"/>
      <c r="E61" s="20"/>
      <c r="F61" s="20"/>
      <c r="G61" s="53"/>
    </row>
    <row r="62" spans="1:7" x14ac:dyDescent="0.25">
      <c r="A62" s="7">
        <v>2004</v>
      </c>
      <c r="B62" s="103"/>
      <c r="C62" s="70">
        <f t="shared" si="1"/>
        <v>0</v>
      </c>
      <c r="D62" s="20"/>
      <c r="E62" s="20"/>
      <c r="F62" s="20"/>
      <c r="G62" s="53"/>
    </row>
    <row r="63" spans="1:7" x14ac:dyDescent="0.25">
      <c r="A63" s="7">
        <v>2005</v>
      </c>
      <c r="B63" s="103"/>
      <c r="C63" s="70">
        <f t="shared" si="1"/>
        <v>0</v>
      </c>
      <c r="D63" s="20"/>
      <c r="E63" s="20"/>
      <c r="F63" s="20"/>
      <c r="G63" s="53"/>
    </row>
    <row r="64" spans="1:7" x14ac:dyDescent="0.25">
      <c r="A64" s="7">
        <v>2006</v>
      </c>
      <c r="B64" s="103"/>
      <c r="C64" s="70">
        <f t="shared" si="1"/>
        <v>0</v>
      </c>
      <c r="D64" s="20"/>
      <c r="E64" s="20"/>
      <c r="F64" s="20"/>
      <c r="G64" s="53"/>
    </row>
    <row r="65" spans="1:7" x14ac:dyDescent="0.25">
      <c r="A65" s="7">
        <v>2007</v>
      </c>
      <c r="B65" s="103"/>
      <c r="C65" s="70">
        <f t="shared" si="1"/>
        <v>0</v>
      </c>
      <c r="D65" s="20"/>
      <c r="E65" s="20"/>
      <c r="F65" s="20"/>
      <c r="G65" s="53"/>
    </row>
    <row r="66" spans="1:7" x14ac:dyDescent="0.25">
      <c r="A66" s="7">
        <v>2008</v>
      </c>
      <c r="B66" s="103"/>
      <c r="C66" s="70">
        <f t="shared" si="1"/>
        <v>0</v>
      </c>
      <c r="D66" s="20"/>
      <c r="E66" s="20"/>
      <c r="F66" s="20"/>
      <c r="G66" s="53"/>
    </row>
    <row r="67" spans="1:7" x14ac:dyDescent="0.25">
      <c r="A67" s="7">
        <v>2009</v>
      </c>
      <c r="B67" s="103"/>
      <c r="C67" s="70">
        <f t="shared" si="1"/>
        <v>0</v>
      </c>
      <c r="D67" s="20"/>
      <c r="E67" s="20"/>
      <c r="F67" s="20"/>
      <c r="G67" s="53"/>
    </row>
    <row r="68" spans="1:7" x14ac:dyDescent="0.25">
      <c r="A68" s="7">
        <v>2010</v>
      </c>
      <c r="B68" s="103"/>
      <c r="C68" s="70">
        <f t="shared" si="1"/>
        <v>0</v>
      </c>
      <c r="D68" s="20"/>
      <c r="E68" s="20"/>
      <c r="F68" s="20"/>
      <c r="G68" s="53"/>
    </row>
    <row r="69" spans="1:7" x14ac:dyDescent="0.25">
      <c r="A69" s="7">
        <v>2011</v>
      </c>
      <c r="B69" s="103"/>
      <c r="C69" s="70">
        <f t="shared" si="1"/>
        <v>0</v>
      </c>
      <c r="D69" s="20"/>
      <c r="E69" s="20"/>
      <c r="F69" s="20"/>
      <c r="G69" s="53"/>
    </row>
    <row r="70" spans="1:7" x14ac:dyDescent="0.25">
      <c r="A70" s="7">
        <v>2012</v>
      </c>
      <c r="B70" s="103"/>
      <c r="C70" s="70">
        <f t="shared" si="1"/>
        <v>0</v>
      </c>
      <c r="D70" s="20"/>
      <c r="E70" s="20"/>
      <c r="F70" s="20"/>
      <c r="G70" s="53"/>
    </row>
    <row r="71" spans="1:7" x14ac:dyDescent="0.25">
      <c r="A71" s="7">
        <v>2013</v>
      </c>
      <c r="B71" s="103"/>
      <c r="C71" s="70">
        <f t="shared" si="1"/>
        <v>0</v>
      </c>
      <c r="D71" s="20"/>
      <c r="E71" s="20"/>
      <c r="F71" s="20"/>
      <c r="G71" s="53"/>
    </row>
    <row r="72" spans="1:7" x14ac:dyDescent="0.25">
      <c r="A72" s="7">
        <v>2014</v>
      </c>
      <c r="B72" s="103"/>
      <c r="C72" s="70">
        <f t="shared" si="1"/>
        <v>0</v>
      </c>
      <c r="D72" s="20"/>
      <c r="E72" s="20"/>
      <c r="F72" s="20"/>
      <c r="G72" s="53"/>
    </row>
    <row r="73" spans="1:7" x14ac:dyDescent="0.25">
      <c r="A73" s="7">
        <v>2015</v>
      </c>
      <c r="B73" s="103"/>
      <c r="C73" s="70">
        <f t="shared" si="1"/>
        <v>0</v>
      </c>
      <c r="D73" s="20"/>
      <c r="E73" s="20"/>
      <c r="F73" s="20"/>
      <c r="G73" s="53"/>
    </row>
    <row r="74" spans="1:7" x14ac:dyDescent="0.25">
      <c r="A74" s="7">
        <v>2016</v>
      </c>
      <c r="B74" s="103"/>
      <c r="C74" s="70">
        <f t="shared" si="1"/>
        <v>0</v>
      </c>
      <c r="D74" s="20"/>
      <c r="E74" s="20"/>
      <c r="F74" s="20"/>
      <c r="G74" s="53"/>
    </row>
    <row r="75" spans="1:7" x14ac:dyDescent="0.25">
      <c r="A75" s="7">
        <v>2017</v>
      </c>
      <c r="B75" s="103"/>
      <c r="C75" s="70">
        <f t="shared" si="1"/>
        <v>0</v>
      </c>
      <c r="D75" s="20"/>
      <c r="E75" s="20"/>
      <c r="F75" s="20"/>
      <c r="G75" s="53"/>
    </row>
    <row r="76" spans="1:7" x14ac:dyDescent="0.25">
      <c r="A76" s="7">
        <v>2018</v>
      </c>
      <c r="B76" s="103"/>
      <c r="C76" s="70">
        <f t="shared" si="1"/>
        <v>0</v>
      </c>
      <c r="D76" s="20"/>
      <c r="E76" s="20"/>
      <c r="F76" s="20"/>
      <c r="G76" s="53"/>
    </row>
    <row r="77" spans="1:7" x14ac:dyDescent="0.25">
      <c r="A77" s="7">
        <v>2019</v>
      </c>
      <c r="B77" s="103"/>
      <c r="C77" s="70">
        <f t="shared" si="1"/>
        <v>0</v>
      </c>
      <c r="D77" s="20"/>
      <c r="E77" s="20"/>
      <c r="F77" s="20"/>
      <c r="G77" s="53"/>
    </row>
    <row r="78" spans="1:7" x14ac:dyDescent="0.25">
      <c r="A78" s="7">
        <v>2020</v>
      </c>
      <c r="B78" s="103"/>
      <c r="C78" s="70">
        <f t="shared" si="1"/>
        <v>0</v>
      </c>
      <c r="D78" s="20"/>
      <c r="E78" s="20"/>
      <c r="F78" s="20"/>
      <c r="G78" s="53"/>
    </row>
    <row r="79" spans="1:7" x14ac:dyDescent="0.25">
      <c r="A79" s="7">
        <v>2021</v>
      </c>
      <c r="B79" s="103"/>
      <c r="C79" s="70">
        <f t="shared" si="1"/>
        <v>0</v>
      </c>
      <c r="D79" s="20"/>
      <c r="E79" s="20"/>
      <c r="F79" s="20"/>
      <c r="G79" s="53"/>
    </row>
    <row r="80" spans="1:7" x14ac:dyDescent="0.25">
      <c r="A80" s="7">
        <v>2022</v>
      </c>
      <c r="B80" s="103"/>
      <c r="C80" s="70">
        <f t="shared" si="1"/>
        <v>0</v>
      </c>
      <c r="D80" s="20"/>
      <c r="E80" s="20"/>
      <c r="F80" s="20"/>
      <c r="G80" s="53"/>
    </row>
    <row r="81" spans="1:7" x14ac:dyDescent="0.25">
      <c r="A81" s="7">
        <v>2023</v>
      </c>
      <c r="B81" s="103"/>
      <c r="C81" s="70">
        <f t="shared" si="1"/>
        <v>0</v>
      </c>
      <c r="D81" s="20"/>
      <c r="E81" s="20"/>
      <c r="F81" s="20"/>
      <c r="G81" s="53"/>
    </row>
    <row r="82" spans="1:7" x14ac:dyDescent="0.25">
      <c r="A82" s="7">
        <v>2024</v>
      </c>
      <c r="B82" s="103"/>
      <c r="C82" s="70">
        <f t="shared" ref="C82:C84" si="2">B82*MCF*DOC*DOCF*F*(16/12)*(EXP(-k*($A$84-A82-1))-EXP(-k*($A$84-A82)))</f>
        <v>0</v>
      </c>
      <c r="D82" s="20"/>
      <c r="E82" s="20"/>
      <c r="F82" s="20"/>
      <c r="G82" s="53"/>
    </row>
    <row r="83" spans="1:7" x14ac:dyDescent="0.25">
      <c r="A83" s="7">
        <v>2025</v>
      </c>
      <c r="B83" s="103"/>
      <c r="C83" s="70">
        <f t="shared" si="2"/>
        <v>0</v>
      </c>
      <c r="D83" s="20"/>
      <c r="E83" s="20"/>
      <c r="F83" s="20"/>
      <c r="G83" s="53"/>
    </row>
    <row r="84" spans="1:7" x14ac:dyDescent="0.25">
      <c r="A84" s="64">
        <v>2026</v>
      </c>
      <c r="B84" s="104"/>
      <c r="C84" s="73">
        <f t="shared" si="2"/>
        <v>0</v>
      </c>
      <c r="D84" s="20"/>
      <c r="E84" s="20"/>
      <c r="F84" s="20"/>
      <c r="G84" s="53"/>
    </row>
    <row r="85" spans="1:7" x14ac:dyDescent="0.25">
      <c r="A85" s="1"/>
      <c r="B85" s="60" t="s">
        <v>89</v>
      </c>
      <c r="C85" s="60">
        <f>SUM(C18:C84)</f>
        <v>0</v>
      </c>
      <c r="D85" s="139" t="s">
        <v>95</v>
      </c>
      <c r="E85" s="139"/>
      <c r="F85" s="139"/>
      <c r="G85" s="53"/>
    </row>
    <row r="86" spans="1:7" x14ac:dyDescent="0.25">
      <c r="A86" s="74"/>
      <c r="B86" s="75" t="s">
        <v>96</v>
      </c>
      <c r="C86" s="105"/>
      <c r="D86" s="75"/>
      <c r="E86" s="75"/>
      <c r="F86" s="75"/>
      <c r="G86" s="76"/>
    </row>
    <row r="87" spans="1:7" x14ac:dyDescent="0.25">
      <c r="A87" s="74"/>
      <c r="B87" s="60" t="s">
        <v>97</v>
      </c>
      <c r="C87" s="60" t="e">
        <f>VLOOKUP(C86,Table4[#All],3,FALSE)</f>
        <v>#N/A</v>
      </c>
      <c r="D87" s="60"/>
      <c r="E87" s="60"/>
      <c r="F87" s="60"/>
      <c r="G87" s="76"/>
    </row>
    <row r="88" spans="1:7" x14ac:dyDescent="0.25">
      <c r="A88" s="1"/>
      <c r="B88" s="60" t="s">
        <v>98</v>
      </c>
      <c r="C88" s="60" t="e">
        <f>C85*(1-C87)</f>
        <v>#N/A</v>
      </c>
      <c r="D88" s="139" t="s">
        <v>99</v>
      </c>
      <c r="E88" s="139"/>
      <c r="F88" s="139"/>
      <c r="G88" s="53"/>
    </row>
    <row r="89" spans="1:7" x14ac:dyDescent="0.25">
      <c r="A89" s="1"/>
      <c r="B89" s="75" t="s">
        <v>100</v>
      </c>
      <c r="C89" s="106"/>
      <c r="D89" s="140" t="s">
        <v>101</v>
      </c>
      <c r="E89" s="140"/>
      <c r="F89" s="140"/>
      <c r="G89" s="53"/>
    </row>
    <row r="90" spans="1:7" x14ac:dyDescent="0.25">
      <c r="A90" s="1"/>
      <c r="B90" s="60" t="s">
        <v>102</v>
      </c>
      <c r="C90" s="60" t="e">
        <f>(C88-C89)*84</f>
        <v>#N/A</v>
      </c>
      <c r="D90" s="139" t="s">
        <v>103</v>
      </c>
      <c r="E90" s="139"/>
      <c r="F90" s="139"/>
      <c r="G90" s="53"/>
    </row>
    <row r="91" spans="1:7" ht="15.75" thickBot="1" x14ac:dyDescent="0.3">
      <c r="A91" s="122" t="s">
        <v>104</v>
      </c>
      <c r="B91" s="123"/>
      <c r="C91" s="123"/>
      <c r="D91" s="123"/>
      <c r="E91" s="123"/>
      <c r="F91" s="123"/>
      <c r="G91" s="124"/>
    </row>
  </sheetData>
  <sheetProtection algorithmName="SHA-512" hashValue="JD0eCldHTWBsVfvHlCS7MXJLUrXMUJ/vSWe3xZOAf6FjcrBINgrTO6HoOID2SRNuhDAXVRZXK5tpKmovh2uwGQ==" saltValue="rGusx7ZAkvuBlml9bjHyJA==" spinCount="100000" sheet="1" objects="1" scenarios="1"/>
  <mergeCells count="13">
    <mergeCell ref="A91:G91"/>
    <mergeCell ref="A3:G3"/>
    <mergeCell ref="A4:G4"/>
    <mergeCell ref="A1:G1"/>
    <mergeCell ref="A7:G7"/>
    <mergeCell ref="A8:G8"/>
    <mergeCell ref="A9:F9"/>
    <mergeCell ref="D85:F85"/>
    <mergeCell ref="D88:F88"/>
    <mergeCell ref="D89:F89"/>
    <mergeCell ref="D90:F90"/>
    <mergeCell ref="A11:F11"/>
    <mergeCell ref="A15:G15"/>
  </mergeCell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F12C118-D2AA-4D4E-9AC4-358D4C99ABFD}">
          <x14:formula1>
            <xm:f>'Landfill Cover Types'!$A$2:$A$7</xm:f>
          </x14:formula1>
          <xm:sqref>C86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A75B-2C1C-445E-9EB1-E0DF0F55843C}">
  <dimension ref="A1:C7"/>
  <sheetViews>
    <sheetView workbookViewId="0">
      <pane ySplit="1" topLeftCell="A2" activePane="bottomLeft" state="frozen"/>
      <selection pane="bottomLeft" activeCell="F3" sqref="F3"/>
    </sheetView>
  </sheetViews>
  <sheetFormatPr defaultRowHeight="15" x14ac:dyDescent="0.25"/>
  <cols>
    <col min="1" max="1" width="14.7109375" style="19" customWidth="1"/>
    <col min="2" max="2" width="62.7109375" customWidth="1"/>
  </cols>
  <sheetData>
    <row r="1" spans="1:3" x14ac:dyDescent="0.25">
      <c r="A1" s="19" t="s">
        <v>105</v>
      </c>
      <c r="B1" s="19" t="s">
        <v>106</v>
      </c>
      <c r="C1" t="s">
        <v>107</v>
      </c>
    </row>
    <row r="2" spans="1:3" ht="64.5" customHeight="1" x14ac:dyDescent="0.25">
      <c r="A2" t="s">
        <v>108</v>
      </c>
      <c r="B2" s="19" t="s">
        <v>109</v>
      </c>
      <c r="C2">
        <v>0</v>
      </c>
    </row>
    <row r="3" spans="1:3" ht="36.75" customHeight="1" x14ac:dyDescent="0.25">
      <c r="A3" t="s">
        <v>110</v>
      </c>
      <c r="B3" s="19" t="s">
        <v>111</v>
      </c>
      <c r="C3">
        <v>0.1</v>
      </c>
    </row>
    <row r="4" spans="1:3" ht="53.25" customHeight="1" x14ac:dyDescent="0.25">
      <c r="A4" t="s">
        <v>112</v>
      </c>
      <c r="B4" s="19" t="s">
        <v>113</v>
      </c>
      <c r="C4">
        <v>0.1</v>
      </c>
    </row>
    <row r="5" spans="1:3" ht="60.75" customHeight="1" x14ac:dyDescent="0.25">
      <c r="A5" t="s">
        <v>114</v>
      </c>
      <c r="B5" s="19" t="s">
        <v>115</v>
      </c>
      <c r="C5">
        <v>0.35</v>
      </c>
    </row>
    <row r="6" spans="1:3" ht="65.25" customHeight="1" x14ac:dyDescent="0.25">
      <c r="A6" t="s">
        <v>116</v>
      </c>
      <c r="B6" s="19" t="s">
        <v>117</v>
      </c>
      <c r="C6">
        <v>0.25</v>
      </c>
    </row>
    <row r="7" spans="1:3" ht="68.25" customHeight="1" x14ac:dyDescent="0.25">
      <c r="A7" t="s">
        <v>118</v>
      </c>
      <c r="B7" s="19" t="s">
        <v>119</v>
      </c>
      <c r="C7">
        <v>0.1</v>
      </c>
    </row>
  </sheetData>
  <sheetProtection algorithmName="SHA-512" hashValue="H5HzDGjo5jFyHAQKRlHcQifRBEB0AtGfGe6YaXLVF5DuBL6JJv4xOMVCX6PIvzl0swYnIO03u8LQGXDdqk9nTA==" saltValue="dkkGVlxEDS7U57g8kVLMnA==" spinCount="100000"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B987A-6A22-4811-88FC-D32E272661D8}">
  <dimension ref="A1:I36"/>
  <sheetViews>
    <sheetView workbookViewId="0">
      <pane ySplit="1" topLeftCell="A2" activePane="bottomLeft" state="frozen"/>
      <selection pane="bottomLeft" activeCell="L5" sqref="L5"/>
    </sheetView>
  </sheetViews>
  <sheetFormatPr defaultRowHeight="15" x14ac:dyDescent="0.25"/>
  <cols>
    <col min="1" max="1" width="44.85546875" customWidth="1"/>
    <col min="2" max="2" width="17.7109375" customWidth="1"/>
    <col min="3" max="3" width="23.7109375" customWidth="1"/>
    <col min="6" max="6" width="16.7109375" customWidth="1"/>
    <col min="7" max="7" width="11" bestFit="1" customWidth="1"/>
    <col min="9" max="9" width="13.28515625" customWidth="1"/>
  </cols>
  <sheetData>
    <row r="1" spans="1:9" x14ac:dyDescent="0.25">
      <c r="A1" t="s">
        <v>12</v>
      </c>
      <c r="B1" t="s">
        <v>120</v>
      </c>
      <c r="C1" t="s">
        <v>121</v>
      </c>
      <c r="D1" t="s">
        <v>22</v>
      </c>
      <c r="E1" t="s">
        <v>14</v>
      </c>
    </row>
    <row r="2" spans="1:9" x14ac:dyDescent="0.25">
      <c r="A2" t="s">
        <v>122</v>
      </c>
      <c r="B2">
        <v>146.959</v>
      </c>
      <c r="C2">
        <v>105.02</v>
      </c>
      <c r="D2">
        <v>25.09</v>
      </c>
      <c r="E2" t="s">
        <v>123</v>
      </c>
    </row>
    <row r="3" spans="1:9" x14ac:dyDescent="0.25">
      <c r="A3" t="s">
        <v>124</v>
      </c>
      <c r="B3">
        <v>136.54900000000001</v>
      </c>
      <c r="C3">
        <v>94.61</v>
      </c>
      <c r="D3">
        <v>24.93</v>
      </c>
      <c r="E3" t="s">
        <v>123</v>
      </c>
    </row>
    <row r="4" spans="1:9" x14ac:dyDescent="0.25">
      <c r="A4" t="s">
        <v>125</v>
      </c>
      <c r="B4">
        <v>140.43899999999999</v>
      </c>
      <c r="C4">
        <v>98.5</v>
      </c>
      <c r="D4">
        <v>17.25</v>
      </c>
      <c r="E4" t="s">
        <v>123</v>
      </c>
      <c r="I4" t="s">
        <v>126</v>
      </c>
    </row>
    <row r="5" spans="1:9" x14ac:dyDescent="0.25">
      <c r="A5" t="s">
        <v>127</v>
      </c>
      <c r="B5">
        <v>140.989</v>
      </c>
      <c r="C5">
        <v>99.05</v>
      </c>
      <c r="D5">
        <v>14.21</v>
      </c>
      <c r="E5" t="s">
        <v>123</v>
      </c>
      <c r="I5" t="s">
        <v>128</v>
      </c>
    </row>
    <row r="6" spans="1:9" x14ac:dyDescent="0.25">
      <c r="A6" t="s">
        <v>35</v>
      </c>
      <c r="B6">
        <v>156.93899999999999</v>
      </c>
      <c r="C6">
        <v>115</v>
      </c>
      <c r="D6">
        <v>24.8</v>
      </c>
      <c r="E6" t="s">
        <v>123</v>
      </c>
      <c r="I6" t="s">
        <v>129</v>
      </c>
    </row>
    <row r="7" spans="1:9" x14ac:dyDescent="0.25">
      <c r="A7" t="s">
        <v>38</v>
      </c>
      <c r="B7">
        <v>97.197399999999988</v>
      </c>
      <c r="C7">
        <v>73.657399999999996</v>
      </c>
      <c r="D7">
        <v>0.13900000000000001</v>
      </c>
      <c r="E7" t="s">
        <v>130</v>
      </c>
    </row>
    <row r="8" spans="1:9" x14ac:dyDescent="0.25">
      <c r="A8" t="s">
        <v>39</v>
      </c>
      <c r="B8">
        <v>97.907399999999996</v>
      </c>
      <c r="C8">
        <v>74.367399999999989</v>
      </c>
      <c r="D8">
        <v>0.13800000000000001</v>
      </c>
      <c r="E8" t="s">
        <v>130</v>
      </c>
    </row>
    <row r="9" spans="1:9" x14ac:dyDescent="0.25">
      <c r="A9" t="s">
        <v>40</v>
      </c>
      <c r="B9">
        <v>98.987400000000008</v>
      </c>
      <c r="C9">
        <v>75.447400000000002</v>
      </c>
      <c r="D9">
        <v>0.14599999999999999</v>
      </c>
      <c r="E9" t="s">
        <v>130</v>
      </c>
    </row>
    <row r="10" spans="1:9" x14ac:dyDescent="0.25">
      <c r="A10" t="s">
        <v>41</v>
      </c>
      <c r="B10">
        <v>93.800399999999996</v>
      </c>
      <c r="C10">
        <v>75.607399999999998</v>
      </c>
      <c r="D10">
        <v>0.13500000000000001</v>
      </c>
      <c r="E10" t="s">
        <v>130</v>
      </c>
    </row>
    <row r="11" spans="1:9" x14ac:dyDescent="0.25">
      <c r="A11" t="s">
        <v>42</v>
      </c>
      <c r="B11">
        <v>89.861400000000003</v>
      </c>
      <c r="C11">
        <v>63.3874</v>
      </c>
      <c r="D11">
        <v>9.1999999999999998E-2</v>
      </c>
      <c r="E11" t="s">
        <v>130</v>
      </c>
    </row>
    <row r="12" spans="1:9" x14ac:dyDescent="0.25">
      <c r="A12" t="s">
        <v>43</v>
      </c>
      <c r="B12">
        <v>92.831400000000002</v>
      </c>
      <c r="C12">
        <v>66.357399999999998</v>
      </c>
      <c r="D12">
        <v>9.0999999999999998E-2</v>
      </c>
      <c r="E12" t="s">
        <v>130</v>
      </c>
    </row>
    <row r="13" spans="1:9" x14ac:dyDescent="0.25">
      <c r="A13" t="s">
        <v>44</v>
      </c>
      <c r="B13">
        <v>103.92440000000001</v>
      </c>
      <c r="C13">
        <v>63.047400000000003</v>
      </c>
      <c r="D13">
        <v>9.6000000000000002E-2</v>
      </c>
      <c r="E13" t="s">
        <v>130</v>
      </c>
    </row>
    <row r="14" spans="1:9" x14ac:dyDescent="0.25">
      <c r="A14" t="s">
        <v>45</v>
      </c>
      <c r="B14">
        <v>108.71440000000001</v>
      </c>
      <c r="C14">
        <v>67.837400000000002</v>
      </c>
      <c r="D14">
        <v>0.1</v>
      </c>
      <c r="E14" t="s">
        <v>130</v>
      </c>
    </row>
    <row r="15" spans="1:9" x14ac:dyDescent="0.25">
      <c r="A15" t="s">
        <v>46</v>
      </c>
      <c r="B15">
        <v>106.1944</v>
      </c>
      <c r="C15">
        <v>65.317399999999992</v>
      </c>
      <c r="D15">
        <v>9.7000000000000003E-2</v>
      </c>
      <c r="E15" t="s">
        <v>130</v>
      </c>
    </row>
    <row r="16" spans="1:9" x14ac:dyDescent="0.25">
      <c r="A16" t="s">
        <v>47</v>
      </c>
      <c r="B16">
        <v>109.02439999999999</v>
      </c>
      <c r="C16">
        <v>68.14739999999999</v>
      </c>
      <c r="D16">
        <v>0.10299999999999999</v>
      </c>
      <c r="E16" t="s">
        <v>130</v>
      </c>
    </row>
    <row r="17" spans="1:5" x14ac:dyDescent="0.25">
      <c r="A17" t="s">
        <v>48</v>
      </c>
      <c r="B17">
        <v>106.43440000000001</v>
      </c>
      <c r="C17">
        <v>65.557400000000001</v>
      </c>
      <c r="D17">
        <v>0.10100000000000001</v>
      </c>
      <c r="E17" t="s">
        <v>130</v>
      </c>
    </row>
    <row r="18" spans="1:5" x14ac:dyDescent="0.25">
      <c r="A18" t="s">
        <v>49</v>
      </c>
      <c r="B18">
        <v>109.01439999999999</v>
      </c>
      <c r="C18">
        <v>68.1374</v>
      </c>
      <c r="D18">
        <v>0.10299999999999999</v>
      </c>
      <c r="E18" t="s">
        <v>130</v>
      </c>
    </row>
    <row r="19" spans="1:5" x14ac:dyDescent="0.25">
      <c r="A19" t="s">
        <v>50</v>
      </c>
      <c r="B19">
        <v>96.103399999999993</v>
      </c>
      <c r="C19">
        <v>67.237399999999994</v>
      </c>
      <c r="D19">
        <v>0.11</v>
      </c>
      <c r="E19" t="s">
        <v>130</v>
      </c>
    </row>
    <row r="20" spans="1:5" x14ac:dyDescent="0.25">
      <c r="A20" t="s">
        <v>51</v>
      </c>
      <c r="B20">
        <v>99.493399999999994</v>
      </c>
      <c r="C20">
        <v>70.627399999999994</v>
      </c>
      <c r="D20">
        <v>0.125</v>
      </c>
      <c r="E20" t="s">
        <v>130</v>
      </c>
    </row>
    <row r="21" spans="1:5" x14ac:dyDescent="0.25">
      <c r="A21" t="s">
        <v>52</v>
      </c>
      <c r="B21">
        <v>87.850399999999993</v>
      </c>
      <c r="C21">
        <v>69.657399999999996</v>
      </c>
      <c r="D21">
        <v>0.12</v>
      </c>
      <c r="E21" t="s">
        <v>130</v>
      </c>
    </row>
    <row r="22" spans="1:5" x14ac:dyDescent="0.25">
      <c r="A22" t="s">
        <v>53</v>
      </c>
      <c r="B22">
        <v>90.820399999999992</v>
      </c>
      <c r="C22">
        <v>72.627399999999994</v>
      </c>
      <c r="D22">
        <v>0.13500000000000001</v>
      </c>
      <c r="E22" t="s">
        <v>130</v>
      </c>
    </row>
    <row r="23" spans="1:5" x14ac:dyDescent="0.25">
      <c r="A23" t="s">
        <v>54</v>
      </c>
      <c r="B23">
        <v>94.045500000000004</v>
      </c>
      <c r="C23">
        <v>53.168500000000002</v>
      </c>
      <c r="D23">
        <f>1.026*10^-3</f>
        <v>1.026E-3</v>
      </c>
      <c r="E23" t="s">
        <v>131</v>
      </c>
    </row>
    <row r="24" spans="1:5" x14ac:dyDescent="0.25">
      <c r="A24" t="s">
        <v>59</v>
      </c>
      <c r="C24">
        <v>94.445000000000007</v>
      </c>
      <c r="D24">
        <v>9950</v>
      </c>
      <c r="E24" t="s">
        <v>123</v>
      </c>
    </row>
    <row r="25" spans="1:5" x14ac:dyDescent="0.25">
      <c r="A25" t="s">
        <v>60</v>
      </c>
      <c r="C25">
        <v>89.715000000000003</v>
      </c>
      <c r="D25">
        <v>28</v>
      </c>
      <c r="E25" t="s">
        <v>123</v>
      </c>
    </row>
    <row r="26" spans="1:5" x14ac:dyDescent="0.25">
      <c r="A26" t="s">
        <v>61</v>
      </c>
      <c r="C26">
        <v>78.745000000000005</v>
      </c>
      <c r="D26">
        <v>38</v>
      </c>
      <c r="E26" t="s">
        <v>123</v>
      </c>
    </row>
    <row r="27" spans="1:5" x14ac:dyDescent="0.25">
      <c r="A27" t="s">
        <v>63</v>
      </c>
      <c r="C27">
        <v>95.367439999999988</v>
      </c>
      <c r="D27">
        <v>17.48</v>
      </c>
      <c r="E27" t="s">
        <v>123</v>
      </c>
    </row>
    <row r="28" spans="1:5" x14ac:dyDescent="0.25">
      <c r="A28" t="s">
        <v>64</v>
      </c>
      <c r="C28">
        <v>121.91500000000001</v>
      </c>
      <c r="D28">
        <v>8.25</v>
      </c>
      <c r="E28" t="s">
        <v>123</v>
      </c>
    </row>
    <row r="29" spans="1:5" x14ac:dyDescent="0.25">
      <c r="A29" t="s">
        <v>65</v>
      </c>
      <c r="C29">
        <v>115.58500000000001</v>
      </c>
      <c r="D29">
        <v>8</v>
      </c>
      <c r="E29" t="s">
        <v>123</v>
      </c>
    </row>
    <row r="30" spans="1:5" x14ac:dyDescent="0.25">
      <c r="A30" t="s">
        <v>66</v>
      </c>
      <c r="C30">
        <v>109.25500000000001</v>
      </c>
      <c r="D30">
        <v>10.39</v>
      </c>
      <c r="E30" t="s">
        <v>123</v>
      </c>
    </row>
    <row r="31" spans="1:5" x14ac:dyDescent="0.25">
      <c r="A31" s="1" t="s">
        <v>69</v>
      </c>
      <c r="C31">
        <v>52.501829999999998</v>
      </c>
      <c r="D31">
        <f>0.485 * 10^-3</f>
        <v>4.8499999999999997E-4</v>
      </c>
      <c r="E31" t="s">
        <v>131</v>
      </c>
    </row>
    <row r="32" spans="1:5" x14ac:dyDescent="0.25">
      <c r="A32" s="1" t="s">
        <v>70</v>
      </c>
      <c r="C32">
        <v>52.501829999999998</v>
      </c>
      <c r="D32">
        <f>0.655* 10^-3</f>
        <v>6.5500000000000009E-4</v>
      </c>
      <c r="E32" t="s">
        <v>131</v>
      </c>
    </row>
    <row r="33" spans="1:5" x14ac:dyDescent="0.25">
      <c r="A33" s="1" t="s">
        <v>73</v>
      </c>
      <c r="C33">
        <v>68.559349999999995</v>
      </c>
      <c r="D33">
        <v>8.4000000000000005E-2</v>
      </c>
      <c r="E33" t="s">
        <v>130</v>
      </c>
    </row>
    <row r="34" spans="1:5" x14ac:dyDescent="0.25">
      <c r="A34" s="1" t="s">
        <v>74</v>
      </c>
      <c r="C34">
        <v>73.959350000000001</v>
      </c>
      <c r="D34">
        <v>0.128</v>
      </c>
      <c r="E34" t="s">
        <v>130</v>
      </c>
    </row>
    <row r="35" spans="1:5" x14ac:dyDescent="0.25">
      <c r="A35" s="1" t="s">
        <v>75</v>
      </c>
      <c r="C35">
        <v>71.179349999999999</v>
      </c>
      <c r="D35">
        <v>0.125</v>
      </c>
      <c r="E35" t="s">
        <v>130</v>
      </c>
    </row>
    <row r="36" spans="1:5" ht="15.75" thickBot="1" x14ac:dyDescent="0.3">
      <c r="A36" s="2" t="s">
        <v>76</v>
      </c>
      <c r="C36">
        <v>81.669349999999994</v>
      </c>
      <c r="D36" s="3">
        <v>0.12</v>
      </c>
      <c r="E36" t="s">
        <v>130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27efb73-9b69-44df-a541-35622d1b3aec">
      <Terms xmlns="http://schemas.microsoft.com/office/infopath/2007/PartnerControls"/>
    </lcf76f155ced4ddcb4097134ff3c332f>
    <TaxCatchAll xmlns="a3d202fa-1933-4420-ab07-2ee53e82da18" xsi:nil="true"/>
    <InWorkflow xmlns="d27efb73-9b69-44df-a541-35622d1b3aec">In Workflow</InWorkflow>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42AAD2AAA4B840A4F4E7FC718F57B8" ma:contentTypeVersion="16" ma:contentTypeDescription="Create a new document." ma:contentTypeScope="" ma:versionID="2fdb5747c825db404d199c4e2cad89a6">
  <xsd:schema xmlns:xsd="http://www.w3.org/2001/XMLSchema" xmlns:xs="http://www.w3.org/2001/XMLSchema" xmlns:p="http://schemas.microsoft.com/office/2006/metadata/properties" xmlns:ns2="d27efb73-9b69-44df-a541-35622d1b3aec" xmlns:ns3="a3d202fa-1933-4420-ab07-2ee53e82da18" targetNamespace="http://schemas.microsoft.com/office/2006/metadata/properties" ma:root="true" ma:fieldsID="8ae47db37957d78e489c7eb68f835ca3" ns2:_="" ns3:_="">
    <xsd:import namespace="d27efb73-9b69-44df-a541-35622d1b3aec"/>
    <xsd:import namespace="a3d202fa-1933-4420-ab07-2ee53e82da1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InWorkflow" minOccurs="0"/>
                <xsd:element ref="ns2:MediaServiceLocation" minOccurs="0"/>
                <xsd:element ref="ns2:MediaServiceObjectDetectorVersions"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7efb73-9b69-44df-a541-35622d1b3a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InWorkflow" ma:index="17" nillable="true" ma:displayName="InWorkflow" ma:default="In Workflow" ma:format="RadioButtons" ma:indexed="true" ma:internalName="InWorkflow">
      <xsd:simpleType>
        <xsd:restriction base="dms:Choice">
          <xsd:enumeration value="Completed"/>
          <xsd:enumeration value="In Workflow"/>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d202fa-1933-4420-ab07-2ee53e82da1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bab6c2b-adfa-4322-af15-bd4b2d671278}" ma:internalName="TaxCatchAll" ma:showField="CatchAllData" ma:web="a3d202fa-1933-4420-ab07-2ee53e82da1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90369E-51E2-4B04-896C-3975DD9129A9}">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9e60429-3073-47a3-9bf8-27645aff9dc1"/>
    <ds:schemaRef ds:uri="7d6c6081-b833-415a-8d2d-750b89fe1fe2"/>
    <ds:schemaRef ds:uri="http://www.w3.org/XML/1998/namespace"/>
  </ds:schemaRefs>
</ds:datastoreItem>
</file>

<file path=customXml/itemProps2.xml><?xml version="1.0" encoding="utf-8"?>
<ds:datastoreItem xmlns:ds="http://schemas.openxmlformats.org/officeDocument/2006/customXml" ds:itemID="{DA990974-3454-42BB-B837-4C7359574704}"/>
</file>

<file path=customXml/itemProps3.xml><?xml version="1.0" encoding="utf-8"?>
<ds:datastoreItem xmlns:ds="http://schemas.openxmlformats.org/officeDocument/2006/customXml" ds:itemID="{D793548B-9CF0-481C-8973-A3CAAEFECE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Fuel Combustion Emissions</vt:lpstr>
      <vt:lpstr>Emission Factors</vt:lpstr>
      <vt:lpstr>MSW Landfills</vt:lpstr>
      <vt:lpstr>Landfill Cover Types</vt:lpstr>
      <vt:lpstr>list items (hide)</vt:lpstr>
      <vt:lpstr>DOC</vt:lpstr>
      <vt:lpstr>DOCF</vt:lpstr>
      <vt:lpstr>Emissions_Type</vt:lpstr>
      <vt:lpstr>F</vt:lpstr>
      <vt:lpstr>Fuel_Type</vt:lpstr>
      <vt:lpstr>k</vt:lpstr>
      <vt:lpstr>MCF</vt:lpstr>
      <vt:lpstr>OX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Brinsko, Dan (DEC)</dc:creator>
  <cp:keywords/>
  <dc:description/>
  <cp:lastModifiedBy>Palmer, Donald G (DEC)</cp:lastModifiedBy>
  <cp:revision/>
  <dcterms:created xsi:type="dcterms:W3CDTF">2025-03-11T12:59:34Z</dcterms:created>
  <dcterms:modified xsi:type="dcterms:W3CDTF">2025-03-27T14:00:52Z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0x0101008F42AAD2AAA4B840A4F4E7FC718F57B8</vt:lpwstr>
  </property>
  <property fmtid="{D5CDD505-2E9C-101B-9397-08002B2CF9AE}" pid="3" name="MediaServiceImageTags">
    <vt:lpwstr/>
  </property>
</Properties>
</file>