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L:\DAR\AIR3\APPS1\DAR-Web\!Public Site\Web Content Attachments\"/>
    </mc:Choice>
  </mc:AlternateContent>
  <xr:revisionPtr revIDLastSave="0" documentId="8_{2E5D55A9-E10E-4AD7-9544-27F09A5205D1}" xr6:coauthVersionLast="47" xr6:coauthVersionMax="47" xr10:uidLastSave="{00000000-0000-0000-0000-000000000000}"/>
  <bookViews>
    <workbookView xWindow="28680" yWindow="-120" windowWidth="19440" windowHeight="15000" activeTab="2" xr2:uid="{F5530FF7-EB4A-4801-8B30-E310F77E5BA4}"/>
  </bookViews>
  <sheets>
    <sheet name="Fuel Combustion Emissions" sheetId="1" r:id="rId1"/>
    <sheet name="Emission Factors" sheetId="3" r:id="rId2"/>
    <sheet name="MSW Landfills" sheetId="5" r:id="rId3"/>
    <sheet name="Landfill Cover Types" sheetId="6" r:id="rId4"/>
    <sheet name="list items (hide)" sheetId="4" state="hidden" r:id="rId5"/>
  </sheets>
  <definedNames>
    <definedName name="_xlnm._FilterDatabase" localSheetId="0" hidden="1">'Fuel Combustion Emissions'!$I$15:$I$16</definedName>
    <definedName name="DOC">'MSW Landfills'!$F$19</definedName>
    <definedName name="DOCF">'MSW Landfills'!$F$20</definedName>
    <definedName name="Emissions_Type">'list items (hide)'!$I$5:$I$6</definedName>
    <definedName name="F">'MSW Landfills'!$F$21</definedName>
    <definedName name="Fuel_Type">'list items (hide)'!$A$2:$A$36</definedName>
    <definedName name="k">'MSW Landfills'!$F$22</definedName>
    <definedName name="MCF">'MSW Landfills'!$F$18</definedName>
    <definedName name="OX">'MSW Landfills'!$F$23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7" i="5" l="1"/>
  <c r="F22" i="1"/>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H4" i="3"/>
  <c r="H5" i="3"/>
  <c r="H6" i="3"/>
  <c r="H7" i="3"/>
  <c r="H9" i="3"/>
  <c r="H10" i="3"/>
  <c r="H11" i="3"/>
  <c r="H12" i="3"/>
  <c r="H13" i="3"/>
  <c r="H14" i="3"/>
  <c r="H15" i="3"/>
  <c r="H16" i="3"/>
  <c r="H17" i="3"/>
  <c r="H18" i="3"/>
  <c r="H19" i="3"/>
  <c r="H20" i="3"/>
  <c r="H21" i="3"/>
  <c r="H22" i="3"/>
  <c r="H23" i="3"/>
  <c r="H24" i="3"/>
  <c r="H26" i="3"/>
  <c r="H28" i="3"/>
  <c r="H29" i="3"/>
  <c r="H30" i="3"/>
  <c r="H32" i="3"/>
  <c r="H33" i="3"/>
  <c r="H34" i="3"/>
  <c r="H35" i="3"/>
  <c r="H37" i="3"/>
  <c r="H38" i="3"/>
  <c r="H40" i="3"/>
  <c r="H41" i="3"/>
  <c r="H42" i="3"/>
  <c r="H43" i="3"/>
  <c r="H3" i="3"/>
  <c r="G4" i="3"/>
  <c r="G5" i="3"/>
  <c r="G6" i="3"/>
  <c r="G7" i="3"/>
  <c r="G9" i="3"/>
  <c r="G10" i="3"/>
  <c r="G11" i="3"/>
  <c r="G12" i="3"/>
  <c r="G13" i="3"/>
  <c r="G14" i="3"/>
  <c r="G15" i="3"/>
  <c r="G16" i="3"/>
  <c r="G17" i="3"/>
  <c r="G18" i="3"/>
  <c r="G19" i="3"/>
  <c r="G20" i="3"/>
  <c r="G21" i="3"/>
  <c r="G22" i="3"/>
  <c r="G23" i="3"/>
  <c r="G24" i="3"/>
  <c r="G26" i="3"/>
  <c r="G3" i="3"/>
  <c r="F17"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F18" i="1"/>
  <c r="F19" i="1"/>
  <c r="F20" i="1"/>
  <c r="F21" i="1"/>
  <c r="F23" i="1"/>
  <c r="F24" i="1"/>
  <c r="F25" i="1"/>
  <c r="F26" i="1"/>
  <c r="F27" i="1"/>
  <c r="F28" i="1"/>
  <c r="F29" i="1"/>
  <c r="F30" i="1"/>
  <c r="F31" i="1"/>
  <c r="F32" i="1"/>
  <c r="F33" i="1"/>
  <c r="F34" i="1"/>
  <c r="F35" i="1"/>
  <c r="F36" i="1"/>
  <c r="F37" i="1"/>
  <c r="F38" i="1"/>
  <c r="F39" i="1"/>
  <c r="F40" i="1"/>
  <c r="F41" i="1"/>
  <c r="F42" i="1"/>
  <c r="F43" i="1"/>
  <c r="F44" i="1"/>
  <c r="F45" i="1"/>
  <c r="F46" i="1"/>
  <c r="F47" i="1"/>
  <c r="D31" i="4"/>
  <c r="D32" i="4"/>
  <c r="D23" i="4"/>
  <c r="B38" i="3"/>
  <c r="B37" i="3"/>
  <c r="B28" i="3"/>
  <c r="B26" i="3"/>
  <c r="G36" i="1" l="1"/>
  <c r="G26" i="1"/>
  <c r="G38" i="1"/>
  <c r="G20" i="1"/>
  <c r="G47" i="1"/>
  <c r="G23" i="1"/>
  <c r="G33" i="1"/>
  <c r="G41" i="1"/>
  <c r="G25" i="1"/>
  <c r="G34" i="1"/>
  <c r="G46" i="1"/>
  <c r="G31" i="1"/>
  <c r="G42" i="1"/>
  <c r="G28" i="1"/>
  <c r="G39" i="1"/>
  <c r="G44" i="1"/>
  <c r="G17" i="1"/>
  <c r="G30" i="1"/>
  <c r="G18" i="1"/>
  <c r="G22" i="1"/>
  <c r="C85" i="5"/>
  <c r="C88" i="5" s="1"/>
  <c r="C90" i="5" s="1"/>
  <c r="G40" i="1"/>
  <c r="G32" i="1"/>
  <c r="G24" i="1"/>
  <c r="G43" i="1"/>
  <c r="G35" i="1"/>
  <c r="G27" i="1"/>
  <c r="G19" i="1"/>
  <c r="G45" i="1"/>
  <c r="G37" i="1"/>
  <c r="G29" i="1"/>
  <c r="G21" i="1"/>
  <c r="G48" i="1" l="1"/>
</calcChain>
</file>

<file path=xl/sharedStrings.xml><?xml version="1.0" encoding="utf-8"?>
<sst xmlns="http://schemas.openxmlformats.org/spreadsheetml/2006/main" count="204" uniqueCount="133">
  <si>
    <t>GHG Estimation Tool</t>
  </si>
  <si>
    <t>Disclaimer:</t>
  </si>
  <si>
    <r>
      <rPr>
        <sz val="11"/>
        <color rgb="FF000000"/>
        <rFont val="Aptos Narrow"/>
        <family val="2"/>
      </rPr>
      <t xml:space="preserve">1. Note this tool may be used </t>
    </r>
    <r>
      <rPr>
        <b/>
        <sz val="11"/>
        <color rgb="FF000000"/>
        <rFont val="Aptos Narrow"/>
        <family val="2"/>
      </rPr>
      <t xml:space="preserve">for illustrative purposes ONLY and CANNOT </t>
    </r>
    <r>
      <rPr>
        <sz val="11"/>
        <color rgb="FF000000"/>
        <rFont val="Aptos Narrow"/>
        <family val="2"/>
      </rPr>
      <t>be used as a final or legally binding determination of an entity's obligation to report under the Mandatory Greenhouse Gas Reporting Rule (6 NYCRR Part 253).</t>
    </r>
  </si>
  <si>
    <t>2. Note this estiamtion tool only estimates GHG emissions from fuel combustion activites and GHG emissions from upstream out-of-state. This does inlcude GHG emissions from processes, but Reporting Entities will be required to report process emissions.</t>
  </si>
  <si>
    <r>
      <t>3. The applicability threshold for owners and operators of facilities is 10,000 metric tons or more of CO</t>
    </r>
    <r>
      <rPr>
        <vertAlign val="subscript"/>
        <sz val="11"/>
        <color theme="1"/>
        <rFont val="Aptos Narrow"/>
        <family val="2"/>
        <scheme val="minor"/>
      </rPr>
      <t>2</t>
    </r>
    <r>
      <rPr>
        <sz val="11"/>
        <color theme="1"/>
        <rFont val="Aptos Narrow"/>
        <family val="2"/>
        <scheme val="minor"/>
      </rPr>
      <t xml:space="preserve">e emissions per year, or a facility with budget unit(s) pursuant to Part 242 of this Title, however other reporting entities will have different thresholds. For a complete understanding of reporting thresholds refer to Part 253. </t>
    </r>
  </si>
  <si>
    <t>Instructions:</t>
  </si>
  <si>
    <t xml:space="preserve">1. Enter the fuel type in the first column of the table below. The fuel option should appear in a dropdown menu.  </t>
  </si>
  <si>
    <t>2. Enter the quantity of fuel. Use gallons for liquid fuel, short tons for solid fuel, and scf for gaseous fuel.</t>
  </si>
  <si>
    <t xml:space="preserve">3. In the fuel source enter if the fuel was produced inside of NY. Only select this option if you are sure of the origin of the fuel (ex. Landfills burning landfill gas on site) </t>
  </si>
  <si>
    <t>External Links:</t>
  </si>
  <si>
    <t>6 NYCRR Part 253 Resources:</t>
  </si>
  <si>
    <t>(insert link to Part 253 webpage/FAQ/Fact Sheet)</t>
  </si>
  <si>
    <t>Fuel Type</t>
  </si>
  <si>
    <t xml:space="preserve">Fuel Qty </t>
  </si>
  <si>
    <t>Units</t>
  </si>
  <si>
    <t>Fuel Source</t>
  </si>
  <si>
    <r>
      <rPr>
        <b/>
        <sz val="11"/>
        <color rgb="FF000000"/>
        <rFont val="Aptos Narrow"/>
        <scheme val="minor"/>
      </rPr>
      <t>EF (KgCO</t>
    </r>
    <r>
      <rPr>
        <vertAlign val="subscript"/>
        <sz val="11"/>
        <color rgb="FF000000"/>
        <rFont val="Aptos Narrow"/>
        <scheme val="minor"/>
      </rPr>
      <t>2</t>
    </r>
    <r>
      <rPr>
        <sz val="11"/>
        <color rgb="FF000000"/>
        <rFont val="Aptos Narrow"/>
        <scheme val="minor"/>
      </rPr>
      <t>e/mmbtu)</t>
    </r>
  </si>
  <si>
    <t>HHV (mmbtu/fuel unit)</t>
  </si>
  <si>
    <r>
      <t>Emissions CO</t>
    </r>
    <r>
      <rPr>
        <vertAlign val="subscript"/>
        <sz val="11"/>
        <color rgb="FF000000"/>
        <rFont val="Aptos Narrow"/>
        <family val="2"/>
        <scheme val="minor"/>
      </rPr>
      <t>2</t>
    </r>
    <r>
      <rPr>
        <sz val="11"/>
        <color rgb="FF000000"/>
        <rFont val="Aptos Narrow"/>
        <family val="2"/>
        <scheme val="minor"/>
      </rPr>
      <t>e (Mt)</t>
    </r>
  </si>
  <si>
    <r>
      <t>Total (Mtons CO</t>
    </r>
    <r>
      <rPr>
        <vertAlign val="subscript"/>
        <sz val="11"/>
        <color theme="1"/>
        <rFont val="Aptos Narrow"/>
        <family val="2"/>
        <scheme val="minor"/>
      </rPr>
      <t>2</t>
    </r>
    <r>
      <rPr>
        <sz val="11"/>
        <color theme="1"/>
        <rFont val="Aptos Narrow"/>
        <family val="2"/>
        <scheme val="minor"/>
      </rPr>
      <t>e)</t>
    </r>
  </si>
  <si>
    <t>If you need additional rows please select the bottom row of the table and drag it down or insert rows within the table.</t>
  </si>
  <si>
    <t>Fuel type</t>
  </si>
  <si>
    <t>HHV</t>
  </si>
  <si>
    <t>CO2 EF (kgCO2/mmbtu)</t>
  </si>
  <si>
    <t>CH4 EF (gCH4/mmbtu)</t>
  </si>
  <si>
    <t>N2O EF (gN2O/mmbtu)</t>
  </si>
  <si>
    <t>Upstream out of state EF (CO2e)</t>
  </si>
  <si>
    <t>Combined EF (CO2e)</t>
  </si>
  <si>
    <t>Combined EF for NY sourced fuel (CO2e)</t>
  </si>
  <si>
    <t>Coal and Coke</t>
  </si>
  <si>
    <t>mmbtu/short ton*</t>
  </si>
  <si>
    <t>Anthracite</t>
  </si>
  <si>
    <t>Bituminous</t>
  </si>
  <si>
    <t>Subbituminous</t>
  </si>
  <si>
    <t>Lignite</t>
  </si>
  <si>
    <t>Coal Coke</t>
  </si>
  <si>
    <t>Petroleum fuels</t>
  </si>
  <si>
    <t>(mmbtu/gallon)**</t>
  </si>
  <si>
    <t>Distillate Fuel Oil No. 1</t>
  </si>
  <si>
    <t>Distillate Fuel Oil No. 2</t>
  </si>
  <si>
    <t>Distillate Fuel Oil No. 4</t>
  </si>
  <si>
    <t>Kerosene</t>
  </si>
  <si>
    <t>Liquefied petroleum gases (LPG) *** or Propane</t>
  </si>
  <si>
    <t>Propylene</t>
  </si>
  <si>
    <t>Ethane</t>
  </si>
  <si>
    <t>Ethylene</t>
  </si>
  <si>
    <t>Isobutane</t>
  </si>
  <si>
    <t>Isobutylene</t>
  </si>
  <si>
    <t>Butane</t>
  </si>
  <si>
    <t>Butylene</t>
  </si>
  <si>
    <t>Natural Gasoline</t>
  </si>
  <si>
    <t>Motor Gasoline (finished)</t>
  </si>
  <si>
    <t>Aviation Gasoline</t>
  </si>
  <si>
    <t>Kerosene-Type Jet Fuel</t>
  </si>
  <si>
    <t>Natural Gas</t>
  </si>
  <si>
    <t>mmbtu/scf*</t>
  </si>
  <si>
    <t>avg for pipeline NG</t>
  </si>
  <si>
    <t>Other fuels-solid</t>
  </si>
  <si>
    <t>mmBtu/short ton*</t>
  </si>
  <si>
    <t>Municipal Solid Waste</t>
  </si>
  <si>
    <t>Tires</t>
  </si>
  <si>
    <t>Plastics</t>
  </si>
  <si>
    <t>Biomass fuels (solid)</t>
  </si>
  <si>
    <t>wood and wood residuals</t>
  </si>
  <si>
    <t>Agricultural Byproducts</t>
  </si>
  <si>
    <t>Peat</t>
  </si>
  <si>
    <t>Solid byproducts</t>
  </si>
  <si>
    <t>Biomass fuels—gaseous</t>
  </si>
  <si>
    <t>mmBtu/scf*</t>
  </si>
  <si>
    <t>Landfill Gas</t>
  </si>
  <si>
    <t>Other Biomass Gases</t>
  </si>
  <si>
    <t>Biomass Fuels—Liquid</t>
  </si>
  <si>
    <t>mmBtu/gallon*</t>
  </si>
  <si>
    <t>Ethanol</t>
  </si>
  <si>
    <t>Biodiesel (100%)</t>
  </si>
  <si>
    <t>Rendered Animal Fat</t>
  </si>
  <si>
    <t>Vegetable Oil</t>
  </si>
  <si>
    <t>*These default HHV values cannot be used for reporting under 253 only for estimation purposes (taken from Part 98 Table C-1) not included in Part 253</t>
  </si>
  <si>
    <t>black boxed values from Table C1 and C2 in part 98</t>
  </si>
  <si>
    <t>2. This tool is designed only to estimate methane emissions in an MSW landfill based on waste disposal. It does not account for captured emissions that are flared or combusted for energy. Those emissions must be calculated separately (see the fuel combustion emissions sheet).</t>
  </si>
  <si>
    <t xml:space="preserve">1. Enter the quantity of waste disposed based on records. Waste Quantity should be entered in metric tons of wet waste (as received) </t>
  </si>
  <si>
    <t xml:space="preserve">2. Select the type of cover material from the dropdown menu. Descriptions for each cover type can be found in the Landfill Cover Types tab. </t>
  </si>
  <si>
    <t xml:space="preserve">3. Enter the amount of CH4 collected in any gas collection systems. This should be entered as the mass of CH4 only not the total mass of landfill gas. </t>
  </si>
  <si>
    <t>If the amount of waste is unknown for a given year use EPA Part 98 equation HH-2 to estimate waste.</t>
  </si>
  <si>
    <r>
      <t>W</t>
    </r>
    <r>
      <rPr>
        <vertAlign val="subscript"/>
        <sz val="11"/>
        <color theme="1"/>
        <rFont val="Aptos Narrow"/>
        <family val="2"/>
        <scheme val="minor"/>
      </rPr>
      <t>X</t>
    </r>
    <r>
      <rPr>
        <sz val="11"/>
        <color theme="1"/>
        <rFont val="Aptos Narrow"/>
        <family val="2"/>
        <scheme val="minor"/>
      </rPr>
      <t xml:space="preserve"> = Quantity of waste placed in the landfill in year x (metric tons, wet basis).</t>
    </r>
  </si>
  <si>
    <r>
      <t>POP</t>
    </r>
    <r>
      <rPr>
        <vertAlign val="subscript"/>
        <sz val="11"/>
        <color theme="1"/>
        <rFont val="Aptos Narrow"/>
        <family val="2"/>
        <scheme val="minor"/>
      </rPr>
      <t>X</t>
    </r>
    <r>
      <rPr>
        <sz val="11"/>
        <color theme="1"/>
        <rFont val="Aptos Narrow"/>
        <family val="2"/>
        <scheme val="minor"/>
      </rPr>
      <t xml:space="preserve"> = Population served by the landfill in year x from city population, census data, or other estimates (capita).</t>
    </r>
  </si>
  <si>
    <t>WDRX = Average per capita waste disposal rate for year x from Table HH-2 to this subpart (metric tons per capita per year, wet basis; tons/cap/yr).</t>
  </si>
  <si>
    <t>Year</t>
  </si>
  <si>
    <t>Quantity of waste disposed, wet waste/ as received (Metric Tons)</t>
  </si>
  <si>
    <t>GCH4</t>
  </si>
  <si>
    <t>MCF</t>
  </si>
  <si>
    <t>DOC</t>
  </si>
  <si>
    <t>DOCF</t>
  </si>
  <si>
    <t>F</t>
  </si>
  <si>
    <t>k</t>
  </si>
  <si>
    <t>Mtons CH4 gen</t>
  </si>
  <si>
    <t>select type of landfill cover</t>
  </si>
  <si>
    <t>OX</t>
  </si>
  <si>
    <t>MG</t>
  </si>
  <si>
    <t xml:space="preserve">Mtons CH4 gen with ox </t>
  </si>
  <si>
    <t>CH4 captured</t>
  </si>
  <si>
    <t>Mtons CH4 captured from GCCS</t>
  </si>
  <si>
    <t>total emissions*</t>
  </si>
  <si>
    <t xml:space="preserve">Mtons CO2e </t>
  </si>
  <si>
    <t xml:space="preserve">*emissions from combustion of landfill gas in onsite engines or offsite landfill gas to energy plants need to be calculated seperately </t>
  </si>
  <si>
    <t>cover type abrv</t>
  </si>
  <si>
    <t>Type of landfill cover</t>
  </si>
  <si>
    <t>oxidation factor</t>
  </si>
  <si>
    <t xml:space="preserve">C2 </t>
  </si>
  <si>
    <t>C2: For landfills that have a geomembrane (synthetic) cover or other non-soil barrier meeting the definition of final cover with less than 12 inches of cover soil for greater than 50% of the landfill area containing waste</t>
  </si>
  <si>
    <t>C3</t>
  </si>
  <si>
    <t>C3: For landfills that do not meet the conditions in C2 above and for which you elect not to determine methane flux</t>
  </si>
  <si>
    <t>C4</t>
  </si>
  <si>
    <t>C4: For landfills that do not meet the conditions in C2 or C3 above and that do not have final cover, or intermediate or interim covera for greater than 50% of the landfill area containing waste</t>
  </si>
  <si>
    <t>C5</t>
  </si>
  <si>
    <t>C5: For landfills that do not meet the conditions in C2 or C3 above and that have final cover, or intermediate or interim covera for greater than 50% of the landfill area containing waste and for which the methane flux rateb is less than 10 grams per square meter per day (g/m2/d)</t>
  </si>
  <si>
    <t>C6</t>
  </si>
  <si>
    <t>C6: For landfills that do not meet the conditions in C2 or C3 above and that have final cover or intermediate or interim covera for greater than 50% of the landfill area containing waste and for which the methane flux rateb is 10 to 70 g/m2/d</t>
  </si>
  <si>
    <t>C7</t>
  </si>
  <si>
    <t>C7: For landfills that do not meet the conditions in C2 or C3 above and that have final cover or intermediate or interim covera for greater than 50% of the landfill area containing waste and for which the methane flux rateb is greater than 70 g/m2/d</t>
  </si>
  <si>
    <t>Out of State EF</t>
  </si>
  <si>
    <t>In State EF</t>
  </si>
  <si>
    <t>Anthracite (coal)</t>
  </si>
  <si>
    <t>short tons</t>
  </si>
  <si>
    <t>Bituminous (coal)</t>
  </si>
  <si>
    <t>Subbituminous (coal)</t>
  </si>
  <si>
    <t>Emissions Type</t>
  </si>
  <si>
    <t>Lignite (coal)</t>
  </si>
  <si>
    <t>In State</t>
  </si>
  <si>
    <t>Out of State</t>
  </si>
  <si>
    <t>gallons</t>
  </si>
  <si>
    <t>scf</t>
  </si>
  <si>
    <t>MSW Landfill Methane Generation Estimator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</si>
</sst>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7" x14ac:knownFonts="1">
    <font>
      <sz val="11"/>
      <color theme="1"/>
      <name val="Aptos Narrow"/>
      <family val="2"/>
      <scheme val="minor"/>
    </font>
    <font>
      <b/>
      <sz val="14"/>
      <color theme="1"/>
      <name val="Aptos Narrow"/>
      <family val="2"/>
      <scheme val="minor"/>
    </font>
    <font>
      <b/>
      <sz val="14"/>
      <color theme="9" tint="-0.499984740745262"/>
      <name val="Aptos Narrow"/>
      <family val="2"/>
      <scheme val="minor"/>
    </font>
    <font>
      <b/>
      <sz val="11"/>
      <color theme="1"/>
      <name val="Aptos Narrow"/>
      <family val="2"/>
      <scheme val="minor"/>
    </font>
    <font>
      <sz val="11"/>
      <color theme="0"/>
      <name val="Aptos Narrow"/>
      <family val="2"/>
      <scheme val="minor"/>
    </font>
    <font>
      <sz val="11"/>
      <color rgb="FF000000"/>
      <name val="Aptos Narrow"/>
      <family val="2"/>
    </font>
    <font>
      <b/>
      <sz val="11"/>
      <color rgb="FF000000"/>
      <name val="Aptos Narrow"/>
      <family val="2"/>
    </font>
    <font>
      <b/>
      <sz val="20"/>
      <color theme="0"/>
      <name val="Aptos Narrow"/>
      <family val="2"/>
      <scheme val="minor"/>
    </font>
    <font>
      <sz val="20"/>
      <color theme="0"/>
      <name val="Aptos Narrow"/>
      <family val="2"/>
      <scheme val="minor"/>
    </font>
    <font>
      <b/>
      <sz val="11"/>
      <color theme="0"/>
      <name val="Aptos Narrow"/>
      <family val="2"/>
      <scheme val="minor"/>
    </font>
    <font>
      <sz val="11"/>
      <color rgb="FF000000"/>
      <name val="Aptos Narrow"/>
      <family val="2"/>
      <scheme val="minor"/>
    </font>
    <font>
      <vertAlign val="subscript"/>
      <sz val="11"/>
      <color theme="1"/>
      <name val="Aptos Narrow"/>
      <family val="2"/>
      <scheme val="minor"/>
    </font>
    <font>
      <vertAlign val="subscript"/>
      <sz val="11"/>
      <color rgb="FF000000"/>
      <name val="Aptos Narrow"/>
      <family val="2"/>
      <scheme val="minor"/>
    </font>
    <font>
      <sz val="11"/>
      <color theme="1"/>
      <name val="Aptos Narrow"/>
      <scheme val="minor"/>
    </font>
    <font>
      <b/>
      <sz val="11"/>
      <color rgb="FF000000"/>
      <name val="Aptos Narrow"/>
      <scheme val="minor"/>
    </font>
    <font>
      <vertAlign val="subscript"/>
      <sz val="11"/>
      <color rgb="FF000000"/>
      <name val="Aptos Narrow"/>
      <scheme val="minor"/>
    </font>
    <font>
      <sz val="11"/>
      <color rgb="FF000000"/>
      <name val="Aptos Narrow"/>
      <scheme val="minor"/>
    </font>
  </fonts>
  <fills count="8">
    <fill>
      <patternFill patternType="none"/>
    </fill>
    <fill>
      <patternFill patternType="gray125"/>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9" tint="-0.499984740745262"/>
        <bgColor indexed="64"/>
      </patternFill>
    </fill>
    <fill>
      <patternFill patternType="solid">
        <fgColor theme="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rgb="FF000000"/>
      </top>
      <bottom/>
      <diagonal/>
    </border>
    <border>
      <left/>
      <right/>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style="medium">
        <color rgb="FF000000"/>
      </right>
      <top/>
      <bottom style="thin">
        <color rgb="FF000000"/>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style="thin">
        <color rgb="FF000000"/>
      </bottom>
      <diagonal/>
    </border>
  </borders>
  <cellStyleXfs count="1">
    <xf numFmtId="0" fontId="0" fillId="0" borderId="0"/>
  </cellStyleXfs>
  <cellXfs count="144">
    <xf numFmtId="0" fontId="0" fillId="0" borderId="0" xfId="0"/>
    <xf numFmtId="0" fontId="0" fillId="0" borderId="3" xfId="0" applyBorder="1"/>
    <xf numFmtId="0" fontId="0" fillId="0" borderId="4" xfId="0" applyBorder="1"/>
    <xf numFmtId="0" fontId="0" fillId="0" borderId="5" xfId="0" applyBorder="1"/>
    <xf numFmtId="0" fontId="0" fillId="3" borderId="1" xfId="0" applyFill="1" applyBorder="1"/>
    <xf numFmtId="0" fontId="0" fillId="4" borderId="1" xfId="0" applyFill="1" applyBorder="1"/>
    <xf numFmtId="0" fontId="0" fillId="3" borderId="6" xfId="0" applyFill="1" applyBorder="1"/>
    <xf numFmtId="0" fontId="0" fillId="4" borderId="6" xfId="0" applyFill="1" applyBorder="1"/>
    <xf numFmtId="0" fontId="0" fillId="4" borderId="8" xfId="0" applyFill="1" applyBorder="1"/>
    <xf numFmtId="0" fontId="0" fillId="3" borderId="9" xfId="0" applyFill="1" applyBorder="1"/>
    <xf numFmtId="0" fontId="0" fillId="3" borderId="10" xfId="0" applyFill="1" applyBorder="1"/>
    <xf numFmtId="0" fontId="0" fillId="3" borderId="11" xfId="0" applyFill="1" applyBorder="1"/>
    <xf numFmtId="0" fontId="0" fillId="4" borderId="12" xfId="0" applyFill="1" applyBorder="1"/>
    <xf numFmtId="0" fontId="0" fillId="4" borderId="13" xfId="0" applyFill="1" applyBorder="1"/>
    <xf numFmtId="0" fontId="0" fillId="3" borderId="12" xfId="0" applyFill="1" applyBorder="1"/>
    <xf numFmtId="0" fontId="0" fillId="3" borderId="13" xfId="0" applyFill="1" applyBorder="1"/>
    <xf numFmtId="0" fontId="0" fillId="4" borderId="14" xfId="0" applyFill="1" applyBorder="1"/>
    <xf numFmtId="0" fontId="0" fillId="4" borderId="15" xfId="0" applyFill="1" applyBorder="1"/>
    <xf numFmtId="0" fontId="0" fillId="4" borderId="16" xfId="0" applyFill="1" applyBorder="1"/>
    <xf numFmtId="0" fontId="0" fillId="0" borderId="0" xfId="0" applyAlignment="1">
      <alignment wrapText="1"/>
    </xf>
    <xf numFmtId="0" fontId="0" fillId="0" borderId="0" xfId="0" applyBorder="1"/>
    <xf numFmtId="0" fontId="0" fillId="0" borderId="1" xfId="0" applyBorder="1" applyProtection="1"/>
    <xf numFmtId="0" fontId="0" fillId="0" borderId="7" xfId="0" applyBorder="1" applyProtection="1"/>
    <xf numFmtId="0" fontId="0" fillId="0" borderId="8" xfId="0" applyBorder="1" applyProtection="1"/>
    <xf numFmtId="0" fontId="0" fillId="0" borderId="2" xfId="0" applyBorder="1" applyProtection="1"/>
    <xf numFmtId="0" fontId="0" fillId="0" borderId="1" xfId="0" applyBorder="1" applyProtection="1">
      <protection locked="0"/>
    </xf>
    <xf numFmtId="0" fontId="0" fillId="0" borderId="8" xfId="0" applyBorder="1" applyProtection="1">
      <protection locked="0"/>
    </xf>
    <xf numFmtId="43" fontId="0" fillId="0" borderId="0" xfId="0" applyNumberFormat="1"/>
    <xf numFmtId="0" fontId="0" fillId="0" borderId="0" xfId="0" applyAlignment="1"/>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xf>
    <xf numFmtId="0" fontId="2" fillId="0" borderId="0" xfId="0" applyFont="1" applyBorder="1"/>
    <xf numFmtId="0" fontId="2" fillId="0" borderId="0" xfId="0" applyFont="1" applyBorder="1" applyAlignment="1"/>
    <xf numFmtId="0" fontId="1" fillId="0" borderId="0" xfId="0" applyFont="1" applyBorder="1"/>
    <xf numFmtId="0" fontId="0" fillId="0" borderId="0" xfId="0" applyBorder="1" applyProtection="1"/>
    <xf numFmtId="0" fontId="0" fillId="5" borderId="0" xfId="0" applyFill="1" applyBorder="1" applyProtection="1"/>
    <xf numFmtId="0" fontId="0" fillId="0" borderId="19" xfId="0" applyBorder="1"/>
    <xf numFmtId="43" fontId="0" fillId="5" borderId="20" xfId="0" applyNumberFormat="1" applyFill="1" applyBorder="1" applyProtection="1"/>
    <xf numFmtId="0" fontId="0" fillId="0" borderId="21" xfId="0" applyBorder="1"/>
    <xf numFmtId="0" fontId="0" fillId="0" borderId="22" xfId="0" applyBorder="1"/>
    <xf numFmtId="0" fontId="0" fillId="0" borderId="23" xfId="0" applyBorder="1"/>
    <xf numFmtId="0" fontId="2" fillId="0" borderId="20" xfId="0" applyFont="1" applyBorder="1" applyAlignment="1"/>
    <xf numFmtId="0" fontId="0" fillId="0" borderId="20" xfId="0" applyBorder="1"/>
    <xf numFmtId="0" fontId="3" fillId="4" borderId="27" xfId="0" applyFont="1" applyFill="1" applyBorder="1"/>
    <xf numFmtId="0" fontId="2" fillId="4" borderId="17" xfId="0" applyFont="1" applyFill="1" applyBorder="1"/>
    <xf numFmtId="0" fontId="0" fillId="4" borderId="17" xfId="0" applyFill="1" applyBorder="1"/>
    <xf numFmtId="0" fontId="0" fillId="4" borderId="28" xfId="0" applyFill="1" applyBorder="1"/>
    <xf numFmtId="0" fontId="1" fillId="4" borderId="17" xfId="0" applyFont="1" applyFill="1" applyBorder="1"/>
    <xf numFmtId="0" fontId="0" fillId="0" borderId="6" xfId="0" applyBorder="1" applyProtection="1">
      <protection locked="0"/>
    </xf>
    <xf numFmtId="43" fontId="0" fillId="0" borderId="7" xfId="0" applyNumberFormat="1" applyBorder="1" applyProtection="1"/>
    <xf numFmtId="0" fontId="0" fillId="0" borderId="31" xfId="0" applyBorder="1" applyProtection="1">
      <protection locked="0"/>
    </xf>
    <xf numFmtId="43" fontId="0" fillId="0" borderId="2" xfId="0" applyNumberFormat="1" applyBorder="1" applyProtection="1"/>
    <xf numFmtId="0" fontId="0" fillId="0" borderId="35" xfId="0" applyBorder="1"/>
    <xf numFmtId="0" fontId="4" fillId="6" borderId="9" xfId="0" applyFont="1" applyFill="1" applyBorder="1"/>
    <xf numFmtId="0" fontId="0" fillId="4" borderId="11" xfId="0" applyFill="1" applyBorder="1"/>
    <xf numFmtId="0" fontId="4" fillId="6" borderId="12" xfId="0" applyFont="1" applyFill="1" applyBorder="1"/>
    <xf numFmtId="0" fontId="4" fillId="6" borderId="14" xfId="0" applyFont="1" applyFill="1" applyBorder="1"/>
    <xf numFmtId="0" fontId="0" fillId="0" borderId="0" xfId="0" applyBorder="1" applyAlignment="1">
      <alignment wrapText="1"/>
    </xf>
    <xf numFmtId="0" fontId="0" fillId="0" borderId="35" xfId="0" applyBorder="1" applyAlignment="1">
      <alignment wrapText="1"/>
    </xf>
    <xf numFmtId="0" fontId="0" fillId="5" borderId="0" xfId="0" applyFill="1" applyBorder="1"/>
    <xf numFmtId="0" fontId="0" fillId="0" borderId="0" xfId="0" applyAlignment="1">
      <alignment horizontal="left"/>
    </xf>
    <xf numFmtId="0" fontId="3" fillId="4" borderId="2" xfId="0" applyFont="1" applyFill="1" applyBorder="1"/>
    <xf numFmtId="0" fontId="0" fillId="4" borderId="37" xfId="0" applyFill="1" applyBorder="1"/>
    <xf numFmtId="0" fontId="0" fillId="4" borderId="31" xfId="0" applyFill="1" applyBorder="1"/>
    <xf numFmtId="0" fontId="0" fillId="4" borderId="33" xfId="0" applyFill="1" applyBorder="1"/>
    <xf numFmtId="0" fontId="9" fillId="6" borderId="1" xfId="0" applyFont="1" applyFill="1" applyBorder="1" applyAlignment="1">
      <alignment wrapText="1"/>
    </xf>
    <xf numFmtId="0" fontId="3" fillId="4" borderId="42" xfId="0" applyFont="1" applyFill="1" applyBorder="1"/>
    <xf numFmtId="0" fontId="2" fillId="4" borderId="37" xfId="0" applyFont="1" applyFill="1" applyBorder="1"/>
    <xf numFmtId="0" fontId="0" fillId="4" borderId="43" xfId="0" applyFill="1" applyBorder="1"/>
    <xf numFmtId="0" fontId="0" fillId="4" borderId="7" xfId="0" applyFill="1" applyBorder="1"/>
    <xf numFmtId="0" fontId="4" fillId="6" borderId="34" xfId="0" applyFont="1" applyFill="1" applyBorder="1" applyAlignment="1">
      <alignment wrapText="1"/>
    </xf>
    <xf numFmtId="0" fontId="4" fillId="6" borderId="32" xfId="0" applyFont="1" applyFill="1" applyBorder="1" applyAlignment="1">
      <alignment wrapText="1"/>
    </xf>
    <xf numFmtId="0" fontId="0" fillId="4" borderId="2" xfId="0" applyFill="1" applyBorder="1"/>
    <xf numFmtId="0" fontId="0" fillId="0" borderId="3" xfId="0" applyFill="1" applyBorder="1"/>
    <xf numFmtId="0" fontId="0" fillId="0" borderId="0" xfId="0" applyFill="1" applyBorder="1"/>
    <xf numFmtId="0" fontId="0" fillId="0" borderId="35" xfId="0" applyFill="1" applyBorder="1"/>
    <xf numFmtId="0" fontId="4" fillId="0" borderId="0" xfId="0" applyFont="1" applyFill="1" applyBorder="1"/>
    <xf numFmtId="0" fontId="0" fillId="4" borderId="38" xfId="0" applyFill="1" applyBorder="1"/>
    <xf numFmtId="0" fontId="5" fillId="4" borderId="37" xfId="0" applyFont="1" applyFill="1" applyBorder="1" applyAlignment="1">
      <alignment horizontal="left" wrapText="1"/>
    </xf>
    <xf numFmtId="0" fontId="5" fillId="4" borderId="43" xfId="0" applyFont="1" applyFill="1" applyBorder="1" applyAlignment="1">
      <alignment horizontal="left" wrapText="1"/>
    </xf>
    <xf numFmtId="0" fontId="0" fillId="4" borderId="45" xfId="0" applyFill="1" applyBorder="1" applyAlignment="1">
      <alignment horizontal="left" wrapText="1"/>
    </xf>
    <xf numFmtId="0" fontId="10" fillId="2" borderId="33" xfId="0" applyFont="1" applyFill="1" applyBorder="1" applyAlignment="1">
      <alignment horizontal="center"/>
    </xf>
    <xf numFmtId="0" fontId="10" fillId="2" borderId="34" xfId="0" applyFont="1" applyFill="1" applyBorder="1" applyAlignment="1">
      <alignment horizontal="center"/>
    </xf>
    <xf numFmtId="0" fontId="10" fillId="2" borderId="32" xfId="0" applyFont="1" applyFill="1" applyBorder="1" applyAlignment="1">
      <alignment horizontal="center" wrapText="1"/>
    </xf>
    <xf numFmtId="43" fontId="10" fillId="2" borderId="32" xfId="0" applyNumberFormat="1" applyFont="1" applyFill="1" applyBorder="1" applyAlignment="1">
      <alignment horizontal="center"/>
    </xf>
    <xf numFmtId="0" fontId="5" fillId="0" borderId="0" xfId="0" applyFont="1" applyFill="1" applyBorder="1" applyAlignment="1">
      <alignment horizontal="left" wrapText="1"/>
    </xf>
    <xf numFmtId="0" fontId="5" fillId="0" borderId="35" xfId="0" applyFont="1" applyFill="1" applyBorder="1" applyAlignment="1">
      <alignment horizontal="left" wrapText="1"/>
    </xf>
    <xf numFmtId="0" fontId="0" fillId="4" borderId="0" xfId="0" applyFill="1" applyBorder="1" applyAlignment="1">
      <alignment horizontal="left" wrapText="1"/>
    </xf>
    <xf numFmtId="0" fontId="0" fillId="4" borderId="35" xfId="0" applyFill="1" applyBorder="1" applyAlignment="1">
      <alignment horizontal="left" wrapText="1"/>
    </xf>
    <xf numFmtId="0" fontId="0" fillId="4" borderId="3" xfId="0" applyFill="1" applyBorder="1" applyAlignment="1">
      <alignment horizontal="left" wrapText="1"/>
    </xf>
    <xf numFmtId="0" fontId="0" fillId="7" borderId="3" xfId="0" applyFill="1" applyBorder="1" applyAlignment="1">
      <alignment horizontal="left" wrapText="1"/>
    </xf>
    <xf numFmtId="0" fontId="0" fillId="7" borderId="0" xfId="0" applyFill="1" applyBorder="1" applyAlignment="1">
      <alignment horizontal="left" wrapText="1"/>
    </xf>
    <xf numFmtId="0" fontId="5" fillId="7" borderId="3" xfId="0" applyFont="1" applyFill="1" applyBorder="1" applyAlignment="1">
      <alignment horizontal="left" wrapText="1"/>
    </xf>
    <xf numFmtId="0" fontId="5" fillId="7" borderId="0" xfId="0" applyFont="1" applyFill="1" applyBorder="1" applyAlignment="1">
      <alignment horizontal="left" wrapText="1"/>
    </xf>
    <xf numFmtId="0" fontId="5" fillId="7" borderId="35" xfId="0" applyFont="1" applyFill="1" applyBorder="1" applyAlignment="1">
      <alignment horizontal="left" wrapText="1"/>
    </xf>
    <xf numFmtId="0" fontId="0" fillId="7" borderId="18" xfId="0" applyFill="1" applyBorder="1" applyAlignment="1">
      <alignment horizontal="left" wrapText="1"/>
    </xf>
    <xf numFmtId="0" fontId="0" fillId="7" borderId="46" xfId="0" applyFill="1" applyBorder="1" applyAlignment="1">
      <alignment horizontal="left" wrapText="1"/>
    </xf>
    <xf numFmtId="0" fontId="13" fillId="6" borderId="0" xfId="0" applyFont="1" applyFill="1"/>
    <xf numFmtId="0" fontId="5" fillId="4" borderId="0" xfId="0" applyFont="1" applyFill="1" applyBorder="1" applyAlignment="1">
      <alignment horizontal="left" wrapText="1"/>
    </xf>
    <xf numFmtId="0" fontId="0" fillId="4" borderId="0" xfId="0" applyFill="1" applyBorder="1"/>
    <xf numFmtId="0" fontId="0" fillId="0" borderId="0" xfId="0" applyFill="1"/>
    <xf numFmtId="0" fontId="16" fillId="2" borderId="34" xfId="0" applyFont="1" applyFill="1" applyBorder="1" applyAlignment="1">
      <alignment horizontal="center" wrapText="1"/>
    </xf>
    <xf numFmtId="0" fontId="0" fillId="4" borderId="1" xfId="0" applyFill="1" applyBorder="1" applyProtection="1">
      <protection locked="0"/>
    </xf>
    <xf numFmtId="0" fontId="0" fillId="4" borderId="8" xfId="0" applyFill="1" applyBorder="1" applyProtection="1">
      <protection locked="0"/>
    </xf>
    <xf numFmtId="0" fontId="0" fillId="0" borderId="0" xfId="0" applyFill="1" applyBorder="1" applyAlignment="1" applyProtection="1">
      <alignment horizontal="right"/>
      <protection locked="0"/>
    </xf>
    <xf numFmtId="0" fontId="0" fillId="0" borderId="0" xfId="0" applyFill="1" applyBorder="1" applyProtection="1">
      <protection locked="0"/>
    </xf>
    <xf numFmtId="0" fontId="7" fillId="6" borderId="24" xfId="0" applyFont="1" applyFill="1" applyBorder="1" applyAlignment="1">
      <alignment horizontal="center" vertical="center"/>
    </xf>
    <xf numFmtId="0" fontId="7" fillId="6" borderId="25" xfId="0" applyFont="1" applyFill="1" applyBorder="1" applyAlignment="1">
      <alignment horizontal="center" vertical="center"/>
    </xf>
    <xf numFmtId="0" fontId="7" fillId="6" borderId="26" xfId="0" applyFont="1" applyFill="1" applyBorder="1" applyAlignment="1">
      <alignment horizontal="center" vertical="center"/>
    </xf>
    <xf numFmtId="0" fontId="0" fillId="4" borderId="32" xfId="0" applyFill="1" applyBorder="1" applyAlignment="1"/>
    <xf numFmtId="0" fontId="0" fillId="4" borderId="38" xfId="0" applyFill="1" applyBorder="1" applyAlignment="1"/>
    <xf numFmtId="0" fontId="0" fillId="4" borderId="29" xfId="0" applyFill="1" applyBorder="1" applyAlignment="1">
      <alignment horizontal="left" wrapText="1"/>
    </xf>
    <xf numFmtId="0" fontId="0" fillId="4" borderId="18" xfId="0" applyFill="1" applyBorder="1" applyAlignment="1">
      <alignment horizontal="left" wrapText="1"/>
    </xf>
    <xf numFmtId="0" fontId="0" fillId="4" borderId="30" xfId="0" applyFill="1" applyBorder="1" applyAlignment="1">
      <alignment horizontal="left" wrapText="1"/>
    </xf>
    <xf numFmtId="0" fontId="0" fillId="4" borderId="19" xfId="0" applyFill="1" applyBorder="1" applyAlignment="1">
      <alignment horizontal="left"/>
    </xf>
    <xf numFmtId="0" fontId="0" fillId="4" borderId="0" xfId="0" applyFill="1" applyBorder="1" applyAlignment="1">
      <alignment horizontal="left"/>
    </xf>
    <xf numFmtId="0" fontId="0" fillId="4" borderId="20" xfId="0" applyFill="1" applyBorder="1" applyAlignment="1">
      <alignment horizontal="left"/>
    </xf>
    <xf numFmtId="0" fontId="5" fillId="4" borderId="19" xfId="0" applyFont="1" applyFill="1" applyBorder="1" applyAlignment="1">
      <alignment horizontal="left" wrapText="1"/>
    </xf>
    <xf numFmtId="0" fontId="0" fillId="4" borderId="0" xfId="0" applyFill="1" applyBorder="1" applyAlignment="1">
      <alignment horizontal="left" wrapText="1"/>
    </xf>
    <xf numFmtId="0" fontId="0" fillId="4" borderId="20" xfId="0" applyFill="1" applyBorder="1" applyAlignment="1">
      <alignment horizontal="left" wrapText="1"/>
    </xf>
    <xf numFmtId="0" fontId="0" fillId="4" borderId="19" xfId="0" applyFill="1" applyBorder="1" applyAlignment="1">
      <alignment horizontal="left" wrapText="1"/>
    </xf>
    <xf numFmtId="0" fontId="0" fillId="0" borderId="4" xfId="0" applyBorder="1" applyAlignment="1">
      <alignment horizontal="center"/>
    </xf>
    <xf numFmtId="0" fontId="0" fillId="0" borderId="5" xfId="0" applyBorder="1" applyAlignment="1">
      <alignment horizontal="center"/>
    </xf>
    <xf numFmtId="0" fontId="0" fillId="0" borderId="36" xfId="0" applyBorder="1" applyAlignment="1">
      <alignment horizontal="center"/>
    </xf>
    <xf numFmtId="0" fontId="5" fillId="4" borderId="3" xfId="0" applyFont="1" applyFill="1" applyBorder="1" applyAlignment="1">
      <alignment horizontal="left" wrapText="1"/>
    </xf>
    <xf numFmtId="0" fontId="0" fillId="4" borderId="35" xfId="0" applyFill="1" applyBorder="1" applyAlignment="1">
      <alignment horizontal="left" wrapText="1"/>
    </xf>
    <xf numFmtId="0" fontId="5" fillId="4" borderId="44" xfId="0" applyFont="1" applyFill="1" applyBorder="1" applyAlignment="1">
      <alignment horizontal="left" wrapText="1"/>
    </xf>
    <xf numFmtId="0" fontId="5" fillId="4" borderId="38" xfId="0" applyFont="1" applyFill="1" applyBorder="1" applyAlignment="1">
      <alignment horizontal="left" wrapText="1"/>
    </xf>
    <xf numFmtId="0" fontId="5" fillId="4" borderId="45" xfId="0" applyFont="1" applyFill="1" applyBorder="1" applyAlignment="1">
      <alignment horizontal="left" wrapText="1"/>
    </xf>
    <xf numFmtId="0" fontId="8" fillId="6" borderId="39" xfId="0" applyFont="1" applyFill="1" applyBorder="1" applyAlignment="1">
      <alignment horizontal="center"/>
    </xf>
    <xf numFmtId="0" fontId="8" fillId="6" borderId="40" xfId="0" applyFont="1" applyFill="1" applyBorder="1" applyAlignment="1">
      <alignment horizontal="center"/>
    </xf>
    <xf numFmtId="0" fontId="8" fillId="6" borderId="41" xfId="0" applyFont="1" applyFill="1" applyBorder="1" applyAlignment="1">
      <alignment horizontal="center"/>
    </xf>
    <xf numFmtId="0" fontId="0" fillId="4" borderId="3" xfId="0" applyFont="1" applyFill="1" applyBorder="1" applyAlignment="1">
      <alignment horizontal="left" wrapText="1"/>
    </xf>
    <xf numFmtId="0" fontId="3" fillId="4" borderId="0" xfId="0" applyFont="1" applyFill="1" applyBorder="1" applyAlignment="1">
      <alignment horizontal="left" wrapText="1"/>
    </xf>
    <xf numFmtId="0" fontId="3" fillId="4" borderId="35" xfId="0" applyFont="1" applyFill="1" applyBorder="1" applyAlignment="1">
      <alignment horizontal="left" wrapText="1"/>
    </xf>
    <xf numFmtId="0" fontId="0" fillId="4" borderId="3" xfId="0" applyFill="1" applyBorder="1" applyAlignment="1">
      <alignment horizontal="left" wrapText="1"/>
    </xf>
    <xf numFmtId="0" fontId="0" fillId="4" borderId="44" xfId="0" applyFill="1" applyBorder="1" applyAlignment="1">
      <alignment horizontal="left" wrapText="1"/>
    </xf>
    <xf numFmtId="0" fontId="0" fillId="4" borderId="38" xfId="0" applyFill="1" applyBorder="1" applyAlignment="1">
      <alignment horizontal="left" wrapText="1"/>
    </xf>
    <xf numFmtId="0" fontId="0" fillId="5" borderId="0" xfId="0" applyFill="1" applyBorder="1" applyAlignment="1">
      <alignment horizontal="left"/>
    </xf>
    <xf numFmtId="0" fontId="0" fillId="0" borderId="0" xfId="0" applyFill="1" applyBorder="1" applyAlignment="1">
      <alignment horizontal="left"/>
    </xf>
    <xf numFmtId="0" fontId="0" fillId="4" borderId="42" xfId="0" applyFill="1" applyBorder="1" applyAlignment="1">
      <alignment horizontal="left" wrapText="1"/>
    </xf>
    <xf numFmtId="0" fontId="0" fillId="4" borderId="37" xfId="0" applyFill="1" applyBorder="1" applyAlignment="1">
      <alignment horizontal="left" wrapText="1"/>
    </xf>
    <xf numFmtId="0" fontId="0" fillId="4" borderId="46" xfId="0" applyFill="1" applyBorder="1" applyAlignment="1">
      <alignment horizontal="left" wrapText="1"/>
    </xf>
  </cellXfs>
  <cellStyles count="1">
    <cellStyle name="Normal" xfId="0" builtinId="0"/>
  </cellStyles>
  <dxfs count="21">
    <dxf>
      <border diagonalUp="0" diagonalDown="0">
        <left style="medium">
          <color indexed="64"/>
        </left>
        <right/>
        <top/>
        <bottom/>
        <vertical/>
        <horizontal/>
      </border>
    </dxf>
    <dxf>
      <alignment horizontal="general" vertical="bottom" textRotation="0" wrapText="1" indent="0" justifyLastLine="0" shrinkToFit="0" readingOrder="0"/>
    </dxf>
    <dxf>
      <alignment horizontal="general" vertical="bottom" textRotation="0" wrapText="1" indent="0" justifyLastLine="0" shrinkToFit="0" readingOrder="0"/>
    </dxf>
    <dxf>
      <fill>
        <patternFill patternType="solid">
          <fgColor indexed="64"/>
          <bgColor theme="9" tint="0.79998168889431442"/>
        </patternFill>
      </fill>
      <border diagonalUp="0" diagonalDown="0">
        <left style="thin">
          <color indexed="64"/>
        </left>
        <right/>
        <top style="thin">
          <color indexed="64"/>
        </top>
        <bottom style="thin">
          <color indexed="64"/>
        </bottom>
        <vertical/>
        <horizontal/>
      </border>
    </dxf>
    <dxf>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9"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medium">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0"/>
        <name val="Aptos Narrow"/>
        <family val="2"/>
        <scheme val="minor"/>
      </font>
      <fill>
        <patternFill patternType="solid">
          <fgColor indexed="64"/>
          <bgColor theme="9" tint="-0.499984740745262"/>
        </patternFill>
      </fill>
      <alignment horizontal="general" vertical="bottom" textRotation="0" wrapText="1" indent="0" justifyLastLine="0" shrinkToFit="0" readingOrder="0"/>
      <border diagonalUp="0" diagonalDown="0" outline="0">
        <left style="thin">
          <color indexed="64"/>
        </left>
        <right style="thin">
          <color indexed="64"/>
        </right>
        <top/>
        <bottom/>
      </border>
    </dxf>
    <dxf>
      <numFmt numFmtId="35" formatCode="_(* #,##0.00_);_(* \(#,##0.00\);_(* &quot;-&quot;??_);_(@_)"/>
      <border diagonalUp="0" diagonalDown="0">
        <left style="thin">
          <color indexed="64"/>
        </left>
        <right/>
        <top style="thin">
          <color indexed="64"/>
        </top>
        <bottom style="thin">
          <color indexed="64"/>
        </bottom>
        <vertical/>
        <horizontal/>
      </border>
      <protection locked="1" hidden="0"/>
    </dxf>
    <dxf>
      <numFmt numFmtId="0" formatCode="General"/>
      <border diagonalUp="0" diagonalDown="0">
        <left style="thin">
          <color indexed="64"/>
        </left>
        <right/>
        <top style="thin">
          <color indexed="64"/>
        </top>
        <bottom style="thin">
          <color indexed="64"/>
        </bottom>
        <vertical/>
        <horizontal/>
      </border>
      <protection locked="1" hidden="0"/>
    </dxf>
    <dxf>
      <numFmt numFmtId="0" formatCode="General"/>
      <border diagonalUp="0" diagonalDown="0">
        <left style="thin">
          <color indexed="64"/>
        </left>
        <right style="thin">
          <color indexed="64"/>
        </right>
        <top style="thin">
          <color indexed="64"/>
        </top>
        <bottom style="thin">
          <color indexed="64"/>
        </bottom>
        <vertical/>
        <horizontal/>
      </border>
      <protection locked="1" hidden="0"/>
    </dxf>
    <dxf>
      <border diagonalUp="0" diagonalDown="0">
        <left style="thin">
          <color indexed="64"/>
        </left>
        <right style="thin">
          <color indexed="64"/>
        </right>
        <top style="thin">
          <color indexed="64"/>
        </top>
        <bottom style="thin">
          <color indexed="64"/>
        </bottom>
        <vertical/>
        <horizontal/>
      </border>
      <protection locked="0" hidden="0"/>
    </dxf>
    <dxf>
      <numFmt numFmtId="0" formatCode="General"/>
      <border diagonalUp="0" diagonalDown="0">
        <left style="thin">
          <color indexed="64"/>
        </left>
        <right style="thin">
          <color indexed="64"/>
        </right>
        <top style="thin">
          <color indexed="64"/>
        </top>
        <bottom/>
        <vertical/>
        <horizontal/>
      </border>
      <protection locked="1"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border outline="0">
        <top style="thin">
          <color indexed="64"/>
        </top>
      </border>
    </dxf>
    <dxf>
      <border diagonalUp="0" diagonalDown="0">
        <left style="medium">
          <color indexed="64"/>
        </left>
        <right style="medium">
          <color indexed="64"/>
        </right>
        <top style="medium">
          <color indexed="64"/>
        </top>
        <bottom style="medium">
          <color indexed="64"/>
        </bottom>
      </border>
    </dxf>
    <dxf>
      <border outline="0">
        <bottom style="thin">
          <color indexed="64"/>
        </bottom>
      </border>
    </dxf>
    <dxf>
      <font>
        <color rgb="FF000000"/>
      </font>
      <fill>
        <patternFill patternType="solid">
          <fgColor indexed="64"/>
          <bgColor theme="9" tint="0.59999389629810485"/>
        </patternFill>
      </fill>
      <alignment horizontal="center" vertical="bottom" textRotation="0" indent="0" justifyLastLine="0" shrinkToFit="0" readingOrder="0"/>
      <border diagonalUp="0" diagonalDown="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542925</xdr:colOff>
      <xdr:row>11</xdr:row>
      <xdr:rowOff>114300</xdr:rowOff>
    </xdr:from>
    <xdr:to>
      <xdr:col>2</xdr:col>
      <xdr:colOff>742950</xdr:colOff>
      <xdr:row>12</xdr:row>
      <xdr:rowOff>19050</xdr:rowOff>
    </xdr:to>
    <xdr:pic>
      <xdr:nvPicPr>
        <xdr:cNvPr id="2" name="Picture 1">
          <a:extLst>
            <a:ext uri="{FF2B5EF4-FFF2-40B4-BE49-F238E27FC236}">
              <a16:creationId xmlns:a16="http://schemas.microsoft.com/office/drawing/2014/main" id="{EBE97E14-8879-F3D5-27B7-FF32C6941742}"/>
            </a:ext>
            <a:ext uri="{147F2762-F138-4A5C-976F-8EAC2B608ADB}">
              <a16:predDERef xmlns:a16="http://schemas.microsoft.com/office/drawing/2014/main" pred="{D9C9EEAE-5DE7-39A2-4A2E-FC99F5EA06DF}"/>
            </a:ext>
          </a:extLst>
        </xdr:cNvPr>
        <xdr:cNvPicPr>
          <a:picLocks noChangeAspect="1"/>
        </xdr:cNvPicPr>
      </xdr:nvPicPr>
      <xdr:blipFill>
        <a:blip xmlns:r="http://schemas.openxmlformats.org/officeDocument/2006/relationships" r:embed="rId1"/>
        <a:stretch>
          <a:fillRect/>
        </a:stretch>
      </xdr:blipFill>
      <xdr:spPr>
        <a:xfrm>
          <a:off x="1952625" y="3724275"/>
          <a:ext cx="2819400" cy="2857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982685A-2AD6-4EDC-AEEA-2132ACC04A10}" name="Table3" displayName="Table3" ref="A16:G47" totalsRowShown="0" headerRowDxfId="20" headerRowBorderDxfId="19" tableBorderDxfId="18" totalsRowBorderDxfId="17">
  <autoFilter ref="A16:G47" xr:uid="{F982685A-2AD6-4EDC-AEEA-2132ACC04A1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6734C30B-CD08-4DBD-AF12-A05E1BC292A3}" name="Fuel Type" dataDxfId="16"/>
    <tableColumn id="2" xr3:uid="{C1AEA7AF-F3E8-41DD-BCCC-3A606F16F924}" name="Fuel Qty " dataDxfId="15"/>
    <tableColumn id="7" xr3:uid="{0ED6676C-44A2-45F2-B5F1-6298F654E422}" name="Units" dataDxfId="14">
      <calculatedColumnFormula>IFERROR(VLOOKUP(A17,'list items (hide)'!A:E,5,FALSE),"")</calculatedColumnFormula>
    </tableColumn>
    <tableColumn id="5" xr3:uid="{D9AB1911-C716-4593-BE44-1A8101E5A903}" name="Fuel Source" dataDxfId="13"/>
    <tableColumn id="3" xr3:uid="{17941521-D31B-4209-9E97-DAD8BDB2BDF5}" name="EF (KgCO2e/mmbtu)" dataDxfId="12">
      <calculatedColumnFormula>IFERROR(IF(Table3[[#This Row],[Fuel Source]]="In State", VLOOKUP(A17,'list items (hide)'!A:C,3,FALSE), VLOOKUP(A17,'list items (hide)'!A:C,2,FALSE)),"")</calculatedColumnFormula>
    </tableColumn>
    <tableColumn id="6" xr3:uid="{9F898EE7-9E27-44AB-975E-AB8AA58421BD}" name="HHV (mmbtu/fuel unit)" dataDxfId="11">
      <calculatedColumnFormula>IFERROR(VLOOKUP(A17,'list items (hide)'!A:D,4,FALSE),"")</calculatedColumnFormula>
    </tableColumn>
    <tableColumn id="4" xr3:uid="{C2766434-1447-41F5-89DD-7FF7F410A06C}" name="Emissions CO2e (Mt)" dataDxfId="10">
      <calculatedColumnFormula>IFERROR(Table3[[#This Row],[Fuel Qty ]]*Table3[[#This Row],[EF (KgCO2e/mmbtu)]]*Table3[[#This Row],[HHV (mmbtu/fuel unit)]]/1000,"")</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27272FF-60CE-4B12-B026-0660459F7A37}" name="Table2" displayName="Table2" ref="A17:C84" totalsRowShown="0" headerRowDxfId="9" headerRowBorderDxfId="8" tableBorderDxfId="7" totalsRowBorderDxfId="6">
  <autoFilter ref="A17:C84" xr:uid="{727272FF-60CE-4B12-B026-0660459F7A37}">
    <filterColumn colId="0" hiddenButton="1"/>
    <filterColumn colId="1" hiddenButton="1"/>
    <filterColumn colId="2" hiddenButton="1"/>
  </autoFilter>
  <tableColumns count="3">
    <tableColumn id="1" xr3:uid="{029CBBA9-42E0-4D77-A5F5-E309CDD36677}" name="Year" dataDxfId="5"/>
    <tableColumn id="2" xr3:uid="{857CC65F-735F-4667-8095-C8CB013C6531}" name="Quantity of waste disposed, wet waste/ as received (Metric Tons)" dataDxfId="4"/>
    <tableColumn id="3" xr3:uid="{6D62DEDD-30DE-44EC-94EA-2B25A47E8A2B}" name="GCH4" dataDxfId="3">
      <calculatedColumnFormula>B18*MCF*DOC*DOCF*F*(16/12)*(EXP(-k*($A$84-A18-1))-EXP(-k*($A$84-A18)))</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8BA9740-5288-4B35-B3FB-03AE18D2570C}" name="Table4" displayName="Table4" ref="A1:C7" totalsRowShown="0">
  <autoFilter ref="A1:C7" xr:uid="{98BA9740-5288-4B35-B3FB-03AE18D2570C}"/>
  <tableColumns count="3">
    <tableColumn id="3" xr3:uid="{021D14F8-8525-4AFC-8773-3D8F99B32F71}" name="cover type abrv" dataDxfId="2"/>
    <tableColumn id="1" xr3:uid="{547BF040-9E97-4D15-BD62-E96EF0B0DB44}" name="Type of landfill cover" dataDxfId="1"/>
    <tableColumn id="2" xr3:uid="{94932246-4C3D-4B93-9EED-299B4BE39FEF}" name="oxidation factor"/>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993D33A-81C6-4D99-82E7-585BD89CA485}" name="Table1" displayName="Table1" ref="A1:E36" totalsRowShown="0">
  <autoFilter ref="A1:E36" xr:uid="{D993D33A-81C6-4D99-82E7-585BD89CA485}"/>
  <tableColumns count="5">
    <tableColumn id="1" xr3:uid="{45614468-1EDB-4D98-BB31-9368929F2037}" name="Fuel Type" dataDxfId="0"/>
    <tableColumn id="2" xr3:uid="{BEA7490B-BEEB-41F7-8B55-4A47E2C45403}" name="Out of State EF"/>
    <tableColumn id="3" xr3:uid="{049D805D-BE40-4B85-8A20-EE9F1F401B67}" name="In State EF"/>
    <tableColumn id="4" xr3:uid="{2AEC7936-1D49-4D3D-83FC-C3B96F36BBFD}" name="HHV"/>
    <tableColumn id="5" xr3:uid="{E588848E-1A9A-4B49-9188-32AEACD1A922}" name="Units"/>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9D0F9-0C15-4433-91BC-0BBF81F41706}">
  <sheetPr>
    <pageSetUpPr fitToPage="1"/>
  </sheetPr>
  <dimension ref="A1:K49"/>
  <sheetViews>
    <sheetView showGridLines="0" workbookViewId="0">
      <selection activeCell="H28" sqref="H28"/>
    </sheetView>
  </sheetViews>
  <sheetFormatPr defaultRowHeight="15" x14ac:dyDescent="0.25"/>
  <cols>
    <col min="1" max="1" width="22.140625" customWidth="1"/>
    <col min="2" max="2" width="13" customWidth="1"/>
    <col min="3" max="3" width="18.28515625" customWidth="1"/>
    <col min="4" max="4" width="20.85546875" customWidth="1"/>
    <col min="5" max="5" width="17.7109375" customWidth="1"/>
    <col min="6" max="6" width="18" customWidth="1"/>
    <col min="7" max="9" width="22.85546875" customWidth="1"/>
    <col min="10" max="10" width="22.85546875" style="27" customWidth="1"/>
    <col min="11" max="11" width="22.42578125" bestFit="1" customWidth="1"/>
  </cols>
  <sheetData>
    <row r="1" spans="1:11" ht="58.5" customHeight="1" x14ac:dyDescent="0.25">
      <c r="A1" s="107" t="s">
        <v>0</v>
      </c>
      <c r="B1" s="108"/>
      <c r="C1" s="108"/>
      <c r="D1" s="108"/>
      <c r="E1" s="108"/>
      <c r="F1" s="108"/>
      <c r="G1" s="109"/>
    </row>
    <row r="2" spans="1:11" ht="18.75" x14ac:dyDescent="0.3">
      <c r="A2" s="37"/>
      <c r="B2" s="32"/>
      <c r="C2" s="33"/>
      <c r="D2" s="33"/>
      <c r="E2" s="33"/>
      <c r="F2" s="33"/>
      <c r="G2" s="42"/>
    </row>
    <row r="3" spans="1:11" ht="18.75" x14ac:dyDescent="0.3">
      <c r="A3" s="44" t="s">
        <v>1</v>
      </c>
      <c r="B3" s="45"/>
      <c r="C3" s="46"/>
      <c r="D3" s="46"/>
      <c r="E3" s="46"/>
      <c r="F3" s="46"/>
      <c r="G3" s="47"/>
    </row>
    <row r="4" spans="1:11" s="31" customFormat="1" ht="32.25" customHeight="1" x14ac:dyDescent="0.25">
      <c r="A4" s="118" t="s">
        <v>2</v>
      </c>
      <c r="B4" s="119"/>
      <c r="C4" s="119"/>
      <c r="D4" s="119"/>
      <c r="E4" s="119"/>
      <c r="F4" s="119"/>
      <c r="G4" s="120"/>
    </row>
    <row r="5" spans="1:11" s="29" customFormat="1" ht="31.5" customHeight="1" x14ac:dyDescent="0.25">
      <c r="A5" s="121" t="s">
        <v>3</v>
      </c>
      <c r="B5" s="119"/>
      <c r="C5" s="119"/>
      <c r="D5" s="119"/>
      <c r="E5" s="119"/>
      <c r="F5" s="119"/>
      <c r="G5" s="120"/>
    </row>
    <row r="6" spans="1:11" s="29" customFormat="1" ht="46.5" customHeight="1" x14ac:dyDescent="0.25">
      <c r="A6" s="112" t="s">
        <v>4</v>
      </c>
      <c r="B6" s="113"/>
      <c r="C6" s="113"/>
      <c r="D6" s="113"/>
      <c r="E6" s="113"/>
      <c r="F6" s="113"/>
      <c r="G6" s="114"/>
      <c r="H6" s="30"/>
      <c r="I6" s="30"/>
      <c r="J6" s="30"/>
      <c r="K6" s="30"/>
    </row>
    <row r="7" spans="1:11" ht="18.75" x14ac:dyDescent="0.3">
      <c r="A7" s="37"/>
      <c r="B7" s="34"/>
      <c r="C7" s="34"/>
      <c r="D7" s="20"/>
      <c r="E7" s="20"/>
      <c r="F7" s="20"/>
      <c r="G7" s="43"/>
    </row>
    <row r="8" spans="1:11" ht="18.75" x14ac:dyDescent="0.3">
      <c r="A8" s="44" t="s">
        <v>5</v>
      </c>
      <c r="B8" s="48"/>
      <c r="C8" s="48"/>
      <c r="D8" s="46"/>
      <c r="E8" s="46"/>
      <c r="F8" s="46"/>
      <c r="G8" s="47"/>
    </row>
    <row r="9" spans="1:11" x14ac:dyDescent="0.25">
      <c r="A9" s="115" t="s">
        <v>6</v>
      </c>
      <c r="B9" s="116"/>
      <c r="C9" s="116"/>
      <c r="D9" s="116"/>
      <c r="E9" s="116"/>
      <c r="F9" s="116"/>
      <c r="G9" s="117"/>
      <c r="H9" s="28"/>
      <c r="I9" s="28"/>
      <c r="J9" s="28"/>
      <c r="K9" s="28"/>
    </row>
    <row r="10" spans="1:11" x14ac:dyDescent="0.25">
      <c r="A10" s="115" t="s">
        <v>7</v>
      </c>
      <c r="B10" s="116"/>
      <c r="C10" s="116"/>
      <c r="D10" s="116"/>
      <c r="E10" s="116"/>
      <c r="F10" s="116"/>
      <c r="G10" s="117"/>
      <c r="H10" s="28"/>
      <c r="I10" s="28"/>
      <c r="J10" s="28"/>
      <c r="K10" s="28"/>
    </row>
    <row r="11" spans="1:11" ht="27.75" customHeight="1" x14ac:dyDescent="0.25">
      <c r="A11" s="112" t="s">
        <v>8</v>
      </c>
      <c r="B11" s="113"/>
      <c r="C11" s="113"/>
      <c r="D11" s="113"/>
      <c r="E11" s="113"/>
      <c r="F11" s="113"/>
      <c r="G11" s="114"/>
      <c r="H11" s="28"/>
      <c r="I11" s="28"/>
      <c r="J11" s="28"/>
      <c r="K11" s="28"/>
    </row>
    <row r="12" spans="1:11" x14ac:dyDescent="0.25">
      <c r="A12" s="37"/>
      <c r="B12" s="20"/>
      <c r="C12" s="20"/>
      <c r="D12" s="20"/>
      <c r="E12" s="20"/>
      <c r="F12" s="20"/>
      <c r="G12" s="43"/>
    </row>
    <row r="13" spans="1:11" x14ac:dyDescent="0.25">
      <c r="A13" s="62" t="s">
        <v>9</v>
      </c>
      <c r="B13" s="63"/>
      <c r="C13" s="63"/>
      <c r="D13" s="63"/>
      <c r="E13" s="63"/>
      <c r="F13" s="63"/>
      <c r="G13" s="64"/>
    </row>
    <row r="14" spans="1:11" x14ac:dyDescent="0.25">
      <c r="A14" s="110" t="s">
        <v>10</v>
      </c>
      <c r="B14" s="111"/>
      <c r="C14" s="78" t="s">
        <v>11</v>
      </c>
      <c r="D14" s="78"/>
      <c r="E14" s="78"/>
      <c r="F14" s="78"/>
      <c r="G14" s="65"/>
    </row>
    <row r="15" spans="1:11" x14ac:dyDescent="0.25">
      <c r="A15" s="37"/>
      <c r="B15" s="20"/>
      <c r="C15" s="20"/>
      <c r="D15" s="20"/>
      <c r="E15" s="20"/>
      <c r="F15" s="20"/>
      <c r="G15" s="43"/>
    </row>
    <row r="16" spans="1:11" ht="33" x14ac:dyDescent="0.35">
      <c r="A16" s="82" t="s">
        <v>12</v>
      </c>
      <c r="B16" s="83" t="s">
        <v>13</v>
      </c>
      <c r="C16" s="83" t="s">
        <v>14</v>
      </c>
      <c r="D16" s="83" t="s">
        <v>15</v>
      </c>
      <c r="E16" s="102" t="s">
        <v>16</v>
      </c>
      <c r="F16" s="84" t="s">
        <v>17</v>
      </c>
      <c r="G16" s="85" t="s">
        <v>18</v>
      </c>
    </row>
    <row r="17" spans="1:7" x14ac:dyDescent="0.25">
      <c r="A17" s="49"/>
      <c r="B17" s="25"/>
      <c r="C17" s="21" t="str">
        <f>IFERROR(VLOOKUP(A17,'list items (hide)'!A:E,5,FALSE),"")</f>
        <v/>
      </c>
      <c r="D17" s="25"/>
      <c r="E17" s="21" t="str">
        <f>IFERROR(IF(Table3[[#This Row],[Fuel Source]]="In State", VLOOKUP(A17,'list items (hide)'!A:C,3,FALSE), VLOOKUP(A17,'list items (hide)'!A:C,2,FALSE)),"")</f>
        <v/>
      </c>
      <c r="F17" s="22" t="str">
        <f>IFERROR(VLOOKUP(A17,'list items (hide)'!A:D,4,FALSE),"")</f>
        <v/>
      </c>
      <c r="G17" s="50" t="str">
        <f>IFERROR(Table3[[#This Row],[Fuel Qty ]]*Table3[[#This Row],[EF (KgCO2e/mmbtu)]]*Table3[[#This Row],[HHV (mmbtu/fuel unit)]]/1000,"")</f>
        <v/>
      </c>
    </row>
    <row r="18" spans="1:7" x14ac:dyDescent="0.25">
      <c r="A18" s="49"/>
      <c r="B18" s="25"/>
      <c r="C18" s="21" t="str">
        <f>IFERROR(VLOOKUP(A18,'list items (hide)'!A:E,5,FALSE),"")</f>
        <v/>
      </c>
      <c r="D18" s="25"/>
      <c r="E18" s="21" t="str">
        <f>IFERROR(IF(Table3[[#This Row],[Fuel Source]]="In State", VLOOKUP(A18,'list items (hide)'!A:C,3,FALSE), VLOOKUP(A18,'list items (hide)'!A:C,2,FALSE)),"")</f>
        <v/>
      </c>
      <c r="F18" s="22" t="str">
        <f>IFERROR(VLOOKUP(A18,'list items (hide)'!A:D,4,FALSE),"")</f>
        <v/>
      </c>
      <c r="G18" s="50" t="str">
        <f>IFERROR(Table3[[#This Row],[Fuel Qty ]]*Table3[[#This Row],[EF (KgCO2e/mmbtu)]]*Table3[[#This Row],[HHV (mmbtu/fuel unit)]]/1000,"")</f>
        <v/>
      </c>
    </row>
    <row r="19" spans="1:7" x14ac:dyDescent="0.25">
      <c r="A19" s="49"/>
      <c r="B19" s="25"/>
      <c r="C19" s="21" t="str">
        <f>IFERROR(VLOOKUP(A19,'list items (hide)'!A:E,5,FALSE),"")</f>
        <v/>
      </c>
      <c r="D19" s="25"/>
      <c r="E19" s="21" t="str">
        <f>IFERROR(IF(Table3[[#This Row],[Fuel Source]]="In State", VLOOKUP(A19,'list items (hide)'!A:C,3,FALSE), VLOOKUP(A19,'list items (hide)'!A:C,2,FALSE)),"")</f>
        <v/>
      </c>
      <c r="F19" s="22" t="str">
        <f>IFERROR(VLOOKUP(A19,'list items (hide)'!A:D,4,FALSE),"")</f>
        <v/>
      </c>
      <c r="G19" s="50" t="str">
        <f>IFERROR(Table3[[#This Row],[Fuel Qty ]]*Table3[[#This Row],[EF (KgCO2e/mmbtu)]]*Table3[[#This Row],[HHV (mmbtu/fuel unit)]]/1000,"")</f>
        <v/>
      </c>
    </row>
    <row r="20" spans="1:7" x14ac:dyDescent="0.25">
      <c r="A20" s="49"/>
      <c r="B20" s="25"/>
      <c r="C20" s="21" t="str">
        <f>IFERROR(VLOOKUP(A20,'list items (hide)'!A:E,5,FALSE),"")</f>
        <v/>
      </c>
      <c r="D20" s="25"/>
      <c r="E20" s="21" t="str">
        <f>IFERROR(IF(Table3[[#This Row],[Fuel Source]]="In State", VLOOKUP(A20,'list items (hide)'!A:C,3,FALSE), VLOOKUP(A20,'list items (hide)'!A:C,2,FALSE)),"")</f>
        <v/>
      </c>
      <c r="F20" s="22" t="str">
        <f>IFERROR(VLOOKUP(A20,'list items (hide)'!A:D,4,FALSE),"")</f>
        <v/>
      </c>
      <c r="G20" s="50" t="str">
        <f>IFERROR(Table3[[#This Row],[Fuel Qty ]]*Table3[[#This Row],[EF (KgCO2e/mmbtu)]]*Table3[[#This Row],[HHV (mmbtu/fuel unit)]]/1000,"")</f>
        <v/>
      </c>
    </row>
    <row r="21" spans="1:7" x14ac:dyDescent="0.25">
      <c r="A21" s="51"/>
      <c r="B21" s="26"/>
      <c r="C21" s="23" t="str">
        <f>IFERROR(VLOOKUP(A21,'list items (hide)'!A:E,5,FALSE),"")</f>
        <v/>
      </c>
      <c r="D21" s="25"/>
      <c r="E21" s="23" t="str">
        <f>IFERROR(IF(Table3[[#This Row],[Fuel Source]]="In State", VLOOKUP(A21,'list items (hide)'!A:C,3,FALSE), VLOOKUP(A21,'list items (hide)'!A:C,2,FALSE)),"")</f>
        <v/>
      </c>
      <c r="F21" s="24" t="str">
        <f>IFERROR(VLOOKUP(A21,'list items (hide)'!A:D,4,FALSE),"")</f>
        <v/>
      </c>
      <c r="G21" s="52" t="str">
        <f>IFERROR(Table3[[#This Row],[Fuel Qty ]]*Table3[[#This Row],[EF (KgCO2e/mmbtu)]]*Table3[[#This Row],[HHV (mmbtu/fuel unit)]]/1000,"")</f>
        <v/>
      </c>
    </row>
    <row r="22" spans="1:7" x14ac:dyDescent="0.25">
      <c r="A22" s="51"/>
      <c r="B22" s="26"/>
      <c r="C22" s="23" t="str">
        <f>IFERROR(VLOOKUP(A22,'list items (hide)'!A:E,5,FALSE),"")</f>
        <v/>
      </c>
      <c r="D22" s="25"/>
      <c r="E22" s="23" t="str">
        <f>IFERROR(IF(Table3[[#This Row],[Fuel Source]]="In State", VLOOKUP(A22,'list items (hide)'!A:C,3,FALSE), VLOOKUP(A22,'list items (hide)'!A:C,2,FALSE)),"")</f>
        <v/>
      </c>
      <c r="F22" s="24" t="str">
        <f>IFERROR(VLOOKUP(A22,'list items (hide)'!A:D,4,FALSE),"")</f>
        <v/>
      </c>
      <c r="G22" s="52" t="str">
        <f>IFERROR(Table3[[#This Row],[Fuel Qty ]]*Table3[[#This Row],[EF (KgCO2e/mmbtu)]]*Table3[[#This Row],[HHV (mmbtu/fuel unit)]]/1000,"")</f>
        <v/>
      </c>
    </row>
    <row r="23" spans="1:7" x14ac:dyDescent="0.25">
      <c r="A23" s="51"/>
      <c r="B23" s="26"/>
      <c r="C23" s="23" t="str">
        <f>IFERROR(VLOOKUP(A23,'list items (hide)'!A:E,5,FALSE),"")</f>
        <v/>
      </c>
      <c r="D23" s="25"/>
      <c r="E23" s="23" t="str">
        <f>IFERROR(IF(Table3[[#This Row],[Fuel Source]]="In State", VLOOKUP(A23,'list items (hide)'!A:C,3,FALSE), VLOOKUP(A23,'list items (hide)'!A:C,2,FALSE)),"")</f>
        <v/>
      </c>
      <c r="F23" s="24" t="str">
        <f>IFERROR(VLOOKUP(A23,'list items (hide)'!A:D,4,FALSE),"")</f>
        <v/>
      </c>
      <c r="G23" s="52" t="str">
        <f>IFERROR(Table3[[#This Row],[Fuel Qty ]]*Table3[[#This Row],[EF (KgCO2e/mmbtu)]]*Table3[[#This Row],[HHV (mmbtu/fuel unit)]]/1000,"")</f>
        <v/>
      </c>
    </row>
    <row r="24" spans="1:7" x14ac:dyDescent="0.25">
      <c r="A24" s="51"/>
      <c r="B24" s="26"/>
      <c r="C24" s="23" t="str">
        <f>IFERROR(VLOOKUP(A24,'list items (hide)'!A:E,5,FALSE),"")</f>
        <v/>
      </c>
      <c r="D24" s="25"/>
      <c r="E24" s="23" t="str">
        <f>IFERROR(IF(Table3[[#This Row],[Fuel Source]]="In State", VLOOKUP(A24,'list items (hide)'!A:C,3,FALSE), VLOOKUP(A24,'list items (hide)'!A:C,2,FALSE)),"")</f>
        <v/>
      </c>
      <c r="F24" s="24" t="str">
        <f>IFERROR(VLOOKUP(A24,'list items (hide)'!A:D,4,FALSE),"")</f>
        <v/>
      </c>
      <c r="G24" s="52" t="str">
        <f>IFERROR(Table3[[#This Row],[Fuel Qty ]]*Table3[[#This Row],[EF (KgCO2e/mmbtu)]]*Table3[[#This Row],[HHV (mmbtu/fuel unit)]]/1000,"")</f>
        <v/>
      </c>
    </row>
    <row r="25" spans="1:7" x14ac:dyDescent="0.25">
      <c r="A25" s="51"/>
      <c r="B25" s="26"/>
      <c r="C25" s="23" t="str">
        <f>IFERROR(VLOOKUP(A25,'list items (hide)'!A:E,5,FALSE),"")</f>
        <v/>
      </c>
      <c r="D25" s="25"/>
      <c r="E25" s="23" t="str">
        <f>IFERROR(IF(Table3[[#This Row],[Fuel Source]]="In State", VLOOKUP(A25,'list items (hide)'!A:C,3,FALSE), VLOOKUP(A25,'list items (hide)'!A:C,2,FALSE)),"")</f>
        <v/>
      </c>
      <c r="F25" s="24" t="str">
        <f>IFERROR(VLOOKUP(A25,'list items (hide)'!A:D,4,FALSE),"")</f>
        <v/>
      </c>
      <c r="G25" s="52" t="str">
        <f>IFERROR(Table3[[#This Row],[Fuel Qty ]]*Table3[[#This Row],[EF (KgCO2e/mmbtu)]]*Table3[[#This Row],[HHV (mmbtu/fuel unit)]]/1000,"")</f>
        <v/>
      </c>
    </row>
    <row r="26" spans="1:7" x14ac:dyDescent="0.25">
      <c r="A26" s="51"/>
      <c r="B26" s="26"/>
      <c r="C26" s="23" t="str">
        <f>IFERROR(VLOOKUP(A26,'list items (hide)'!A:E,5,FALSE),"")</f>
        <v/>
      </c>
      <c r="D26" s="25"/>
      <c r="E26" s="23" t="str">
        <f>IFERROR(IF(Table3[[#This Row],[Fuel Source]]="In State", VLOOKUP(A26,'list items (hide)'!A:C,3,FALSE), VLOOKUP(A26,'list items (hide)'!A:C,2,FALSE)),"")</f>
        <v/>
      </c>
      <c r="F26" s="24" t="str">
        <f>IFERROR(VLOOKUP(A26,'list items (hide)'!A:D,4,FALSE),"")</f>
        <v/>
      </c>
      <c r="G26" s="52" t="str">
        <f>IFERROR(Table3[[#This Row],[Fuel Qty ]]*Table3[[#This Row],[EF (KgCO2e/mmbtu)]]*Table3[[#This Row],[HHV (mmbtu/fuel unit)]]/1000,"")</f>
        <v/>
      </c>
    </row>
    <row r="27" spans="1:7" x14ac:dyDescent="0.25">
      <c r="A27" s="51"/>
      <c r="B27" s="26"/>
      <c r="C27" s="23" t="str">
        <f>IFERROR(VLOOKUP(A27,'list items (hide)'!A:E,5,FALSE),"")</f>
        <v/>
      </c>
      <c r="D27" s="25"/>
      <c r="E27" s="23" t="str">
        <f>IFERROR(IF(Table3[[#This Row],[Fuel Source]]="In State", VLOOKUP(A27,'list items (hide)'!A:C,3,FALSE), VLOOKUP(A27,'list items (hide)'!A:C,2,FALSE)),"")</f>
        <v/>
      </c>
      <c r="F27" s="24" t="str">
        <f>IFERROR(VLOOKUP(A27,'list items (hide)'!A:D,4,FALSE),"")</f>
        <v/>
      </c>
      <c r="G27" s="52" t="str">
        <f>IFERROR(Table3[[#This Row],[Fuel Qty ]]*Table3[[#This Row],[EF (KgCO2e/mmbtu)]]*Table3[[#This Row],[HHV (mmbtu/fuel unit)]]/1000,"")</f>
        <v/>
      </c>
    </row>
    <row r="28" spans="1:7" x14ac:dyDescent="0.25">
      <c r="A28" s="51"/>
      <c r="B28" s="26"/>
      <c r="C28" s="23" t="str">
        <f>IFERROR(VLOOKUP(A28,'list items (hide)'!A:E,5,FALSE),"")</f>
        <v/>
      </c>
      <c r="D28" s="25"/>
      <c r="E28" s="23" t="str">
        <f>IFERROR(IF(Table3[[#This Row],[Fuel Source]]="In State", VLOOKUP(A28,'list items (hide)'!A:C,3,FALSE), VLOOKUP(A28,'list items (hide)'!A:C,2,FALSE)),"")</f>
        <v/>
      </c>
      <c r="F28" s="24" t="str">
        <f>IFERROR(VLOOKUP(A28,'list items (hide)'!A:D,4,FALSE),"")</f>
        <v/>
      </c>
      <c r="G28" s="52" t="str">
        <f>IFERROR(Table3[[#This Row],[Fuel Qty ]]*Table3[[#This Row],[EF (KgCO2e/mmbtu)]]*Table3[[#This Row],[HHV (mmbtu/fuel unit)]]/1000,"")</f>
        <v/>
      </c>
    </row>
    <row r="29" spans="1:7" x14ac:dyDescent="0.25">
      <c r="A29" s="51"/>
      <c r="B29" s="26"/>
      <c r="C29" s="23" t="str">
        <f>IFERROR(VLOOKUP(A29,'list items (hide)'!A:E,5,FALSE),"")</f>
        <v/>
      </c>
      <c r="D29" s="25"/>
      <c r="E29" s="23" t="str">
        <f>IFERROR(IF(Table3[[#This Row],[Fuel Source]]="In State", VLOOKUP(A29,'list items (hide)'!A:C,3,FALSE), VLOOKUP(A29,'list items (hide)'!A:C,2,FALSE)),"")</f>
        <v/>
      </c>
      <c r="F29" s="24" t="str">
        <f>IFERROR(VLOOKUP(A29,'list items (hide)'!A:D,4,FALSE),"")</f>
        <v/>
      </c>
      <c r="G29" s="52" t="str">
        <f>IFERROR(Table3[[#This Row],[Fuel Qty ]]*Table3[[#This Row],[EF (KgCO2e/mmbtu)]]*Table3[[#This Row],[HHV (mmbtu/fuel unit)]]/1000,"")</f>
        <v/>
      </c>
    </row>
    <row r="30" spans="1:7" x14ac:dyDescent="0.25">
      <c r="A30" s="51"/>
      <c r="B30" s="26"/>
      <c r="C30" s="23" t="str">
        <f>IFERROR(VLOOKUP(A30,'list items (hide)'!A:E,5,FALSE),"")</f>
        <v/>
      </c>
      <c r="D30" s="25"/>
      <c r="E30" s="23" t="str">
        <f>IFERROR(IF(Table3[[#This Row],[Fuel Source]]="In State", VLOOKUP(A30,'list items (hide)'!A:C,3,FALSE), VLOOKUP(A30,'list items (hide)'!A:C,2,FALSE)),"")</f>
        <v/>
      </c>
      <c r="F30" s="24" t="str">
        <f>IFERROR(VLOOKUP(A30,'list items (hide)'!A:D,4,FALSE),"")</f>
        <v/>
      </c>
      <c r="G30" s="52" t="str">
        <f>IFERROR(Table3[[#This Row],[Fuel Qty ]]*Table3[[#This Row],[EF (KgCO2e/mmbtu)]]*Table3[[#This Row],[HHV (mmbtu/fuel unit)]]/1000,"")</f>
        <v/>
      </c>
    </row>
    <row r="31" spans="1:7" x14ac:dyDescent="0.25">
      <c r="A31" s="51"/>
      <c r="B31" s="26"/>
      <c r="C31" s="23" t="str">
        <f>IFERROR(VLOOKUP(A31,'list items (hide)'!A:E,5,FALSE),"")</f>
        <v/>
      </c>
      <c r="D31" s="25"/>
      <c r="E31" s="23" t="str">
        <f>IFERROR(IF(Table3[[#This Row],[Fuel Source]]="In State", VLOOKUP(A31,'list items (hide)'!A:C,3,FALSE), VLOOKUP(A31,'list items (hide)'!A:C,2,FALSE)),"")</f>
        <v/>
      </c>
      <c r="F31" s="24" t="str">
        <f>IFERROR(VLOOKUP(A31,'list items (hide)'!A:D,4,FALSE),"")</f>
        <v/>
      </c>
      <c r="G31" s="52" t="str">
        <f>IFERROR(Table3[[#This Row],[Fuel Qty ]]*Table3[[#This Row],[EF (KgCO2e/mmbtu)]]*Table3[[#This Row],[HHV (mmbtu/fuel unit)]]/1000,"")</f>
        <v/>
      </c>
    </row>
    <row r="32" spans="1:7" x14ac:dyDescent="0.25">
      <c r="A32" s="51"/>
      <c r="B32" s="26"/>
      <c r="C32" s="23" t="str">
        <f>IFERROR(VLOOKUP(A32,'list items (hide)'!A:E,5,FALSE),"")</f>
        <v/>
      </c>
      <c r="D32" s="25"/>
      <c r="E32" s="23" t="str">
        <f>IFERROR(IF(Table3[[#This Row],[Fuel Source]]="In State", VLOOKUP(A32,'list items (hide)'!A:C,3,FALSE), VLOOKUP(A32,'list items (hide)'!A:C,2,FALSE)),"")</f>
        <v/>
      </c>
      <c r="F32" s="24" t="str">
        <f>IFERROR(VLOOKUP(A32,'list items (hide)'!A:D,4,FALSE),"")</f>
        <v/>
      </c>
      <c r="G32" s="52" t="str">
        <f>IFERROR(Table3[[#This Row],[Fuel Qty ]]*Table3[[#This Row],[EF (KgCO2e/mmbtu)]]*Table3[[#This Row],[HHV (mmbtu/fuel unit)]]/1000,"")</f>
        <v/>
      </c>
    </row>
    <row r="33" spans="1:7" x14ac:dyDescent="0.25">
      <c r="A33" s="51"/>
      <c r="B33" s="26"/>
      <c r="C33" s="23" t="str">
        <f>IFERROR(VLOOKUP(A33,'list items (hide)'!A:E,5,FALSE),"")</f>
        <v/>
      </c>
      <c r="D33" s="25"/>
      <c r="E33" s="23" t="str">
        <f>IFERROR(IF(Table3[[#This Row],[Fuel Source]]="In State", VLOOKUP(A33,'list items (hide)'!A:C,3,FALSE), VLOOKUP(A33,'list items (hide)'!A:C,2,FALSE)),"")</f>
        <v/>
      </c>
      <c r="F33" s="24" t="str">
        <f>IFERROR(VLOOKUP(A33,'list items (hide)'!A:D,4,FALSE),"")</f>
        <v/>
      </c>
      <c r="G33" s="52" t="str">
        <f>IFERROR(Table3[[#This Row],[Fuel Qty ]]*Table3[[#This Row],[EF (KgCO2e/mmbtu)]]*Table3[[#This Row],[HHV (mmbtu/fuel unit)]]/1000,"")</f>
        <v/>
      </c>
    </row>
    <row r="34" spans="1:7" x14ac:dyDescent="0.25">
      <c r="A34" s="51"/>
      <c r="B34" s="26"/>
      <c r="C34" s="23" t="str">
        <f>IFERROR(VLOOKUP(A34,'list items (hide)'!A:E,5,FALSE),"")</f>
        <v/>
      </c>
      <c r="D34" s="25"/>
      <c r="E34" s="23" t="str">
        <f>IFERROR(IF(Table3[[#This Row],[Fuel Source]]="In State", VLOOKUP(A34,'list items (hide)'!A:C,3,FALSE), VLOOKUP(A34,'list items (hide)'!A:C,2,FALSE)),"")</f>
        <v/>
      </c>
      <c r="F34" s="24" t="str">
        <f>IFERROR(VLOOKUP(A34,'list items (hide)'!A:D,4,FALSE),"")</f>
        <v/>
      </c>
      <c r="G34" s="52" t="str">
        <f>IFERROR(Table3[[#This Row],[Fuel Qty ]]*Table3[[#This Row],[EF (KgCO2e/mmbtu)]]*Table3[[#This Row],[HHV (mmbtu/fuel unit)]]/1000,"")</f>
        <v/>
      </c>
    </row>
    <row r="35" spans="1:7" x14ac:dyDescent="0.25">
      <c r="A35" s="51"/>
      <c r="B35" s="26"/>
      <c r="C35" s="23" t="str">
        <f>IFERROR(VLOOKUP(A35,'list items (hide)'!A:E,5,FALSE),"")</f>
        <v/>
      </c>
      <c r="D35" s="25"/>
      <c r="E35" s="23" t="str">
        <f>IFERROR(IF(Table3[[#This Row],[Fuel Source]]="In State", VLOOKUP(A35,'list items (hide)'!A:C,3,FALSE), VLOOKUP(A35,'list items (hide)'!A:C,2,FALSE)),"")</f>
        <v/>
      </c>
      <c r="F35" s="24" t="str">
        <f>IFERROR(VLOOKUP(A35,'list items (hide)'!A:D,4,FALSE),"")</f>
        <v/>
      </c>
      <c r="G35" s="52" t="str">
        <f>IFERROR(Table3[[#This Row],[Fuel Qty ]]*Table3[[#This Row],[EF (KgCO2e/mmbtu)]]*Table3[[#This Row],[HHV (mmbtu/fuel unit)]]/1000,"")</f>
        <v/>
      </c>
    </row>
    <row r="36" spans="1:7" x14ac:dyDescent="0.25">
      <c r="A36" s="51"/>
      <c r="B36" s="26"/>
      <c r="C36" s="23" t="str">
        <f>IFERROR(VLOOKUP(A36,'list items (hide)'!A:E,5,FALSE),"")</f>
        <v/>
      </c>
      <c r="D36" s="25"/>
      <c r="E36" s="23" t="str">
        <f>IFERROR(IF(Table3[[#This Row],[Fuel Source]]="In State", VLOOKUP(A36,'list items (hide)'!A:C,3,FALSE), VLOOKUP(A36,'list items (hide)'!A:C,2,FALSE)),"")</f>
        <v/>
      </c>
      <c r="F36" s="24" t="str">
        <f>IFERROR(VLOOKUP(A36,'list items (hide)'!A:D,4,FALSE),"")</f>
        <v/>
      </c>
      <c r="G36" s="52" t="str">
        <f>IFERROR(Table3[[#This Row],[Fuel Qty ]]*Table3[[#This Row],[EF (KgCO2e/mmbtu)]]*Table3[[#This Row],[HHV (mmbtu/fuel unit)]]/1000,"")</f>
        <v/>
      </c>
    </row>
    <row r="37" spans="1:7" x14ac:dyDescent="0.25">
      <c r="A37" s="51"/>
      <c r="B37" s="26"/>
      <c r="C37" s="23" t="str">
        <f>IFERROR(VLOOKUP(A37,'list items (hide)'!A:E,5,FALSE),"")</f>
        <v/>
      </c>
      <c r="D37" s="25"/>
      <c r="E37" s="23" t="str">
        <f>IFERROR(IF(Table3[[#This Row],[Fuel Source]]="In State", VLOOKUP(A37,'list items (hide)'!A:C,3,FALSE), VLOOKUP(A37,'list items (hide)'!A:C,2,FALSE)),"")</f>
        <v/>
      </c>
      <c r="F37" s="24" t="str">
        <f>IFERROR(VLOOKUP(A37,'list items (hide)'!A:D,4,FALSE),"")</f>
        <v/>
      </c>
      <c r="G37" s="52" t="str">
        <f>IFERROR(Table3[[#This Row],[Fuel Qty ]]*Table3[[#This Row],[EF (KgCO2e/mmbtu)]]*Table3[[#This Row],[HHV (mmbtu/fuel unit)]]/1000,"")</f>
        <v/>
      </c>
    </row>
    <row r="38" spans="1:7" x14ac:dyDescent="0.25">
      <c r="A38" s="51"/>
      <c r="B38" s="26"/>
      <c r="C38" s="23" t="str">
        <f>IFERROR(VLOOKUP(A38,'list items (hide)'!A:E,5,FALSE),"")</f>
        <v/>
      </c>
      <c r="D38" s="25"/>
      <c r="E38" s="23" t="str">
        <f>IFERROR(IF(Table3[[#This Row],[Fuel Source]]="In State", VLOOKUP(A38,'list items (hide)'!A:C,3,FALSE), VLOOKUP(A38,'list items (hide)'!A:C,2,FALSE)),"")</f>
        <v/>
      </c>
      <c r="F38" s="24" t="str">
        <f>IFERROR(VLOOKUP(A38,'list items (hide)'!A:D,4,FALSE),"")</f>
        <v/>
      </c>
      <c r="G38" s="52" t="str">
        <f>IFERROR(Table3[[#This Row],[Fuel Qty ]]*Table3[[#This Row],[EF (KgCO2e/mmbtu)]]*Table3[[#This Row],[HHV (mmbtu/fuel unit)]]/1000,"")</f>
        <v/>
      </c>
    </row>
    <row r="39" spans="1:7" x14ac:dyDescent="0.25">
      <c r="A39" s="51"/>
      <c r="B39" s="26"/>
      <c r="C39" s="23" t="str">
        <f>IFERROR(VLOOKUP(A39,'list items (hide)'!A:E,5,FALSE),"")</f>
        <v/>
      </c>
      <c r="D39" s="25"/>
      <c r="E39" s="23" t="str">
        <f>IFERROR(IF(Table3[[#This Row],[Fuel Source]]="In State", VLOOKUP(A39,'list items (hide)'!A:C,3,FALSE), VLOOKUP(A39,'list items (hide)'!A:C,2,FALSE)),"")</f>
        <v/>
      </c>
      <c r="F39" s="24" t="str">
        <f>IFERROR(VLOOKUP(A39,'list items (hide)'!A:D,4,FALSE),"")</f>
        <v/>
      </c>
      <c r="G39" s="52" t="str">
        <f>IFERROR(Table3[[#This Row],[Fuel Qty ]]*Table3[[#This Row],[EF (KgCO2e/mmbtu)]]*Table3[[#This Row],[HHV (mmbtu/fuel unit)]]/1000,"")</f>
        <v/>
      </c>
    </row>
    <row r="40" spans="1:7" x14ac:dyDescent="0.25">
      <c r="A40" s="51"/>
      <c r="B40" s="26"/>
      <c r="C40" s="23" t="str">
        <f>IFERROR(VLOOKUP(A40,'list items (hide)'!A:E,5,FALSE),"")</f>
        <v/>
      </c>
      <c r="D40" s="25"/>
      <c r="E40" s="23" t="str">
        <f>IFERROR(IF(Table3[[#This Row],[Fuel Source]]="In State", VLOOKUP(A40,'list items (hide)'!A:C,3,FALSE), VLOOKUP(A40,'list items (hide)'!A:C,2,FALSE)),"")</f>
        <v/>
      </c>
      <c r="F40" s="24" t="str">
        <f>IFERROR(VLOOKUP(A40,'list items (hide)'!A:D,4,FALSE),"")</f>
        <v/>
      </c>
      <c r="G40" s="52" t="str">
        <f>IFERROR(Table3[[#This Row],[Fuel Qty ]]*Table3[[#This Row],[EF (KgCO2e/mmbtu)]]*Table3[[#This Row],[HHV (mmbtu/fuel unit)]]/1000,"")</f>
        <v/>
      </c>
    </row>
    <row r="41" spans="1:7" x14ac:dyDescent="0.25">
      <c r="A41" s="51"/>
      <c r="B41" s="26"/>
      <c r="C41" s="23" t="str">
        <f>IFERROR(VLOOKUP(A41,'list items (hide)'!A:E,5,FALSE),"")</f>
        <v/>
      </c>
      <c r="D41" s="25"/>
      <c r="E41" s="23" t="str">
        <f>IFERROR(IF(Table3[[#This Row],[Fuel Source]]="In State", VLOOKUP(A41,'list items (hide)'!A:C,3,FALSE), VLOOKUP(A41,'list items (hide)'!A:C,2,FALSE)),"")</f>
        <v/>
      </c>
      <c r="F41" s="24" t="str">
        <f>IFERROR(VLOOKUP(A41,'list items (hide)'!A:D,4,FALSE),"")</f>
        <v/>
      </c>
      <c r="G41" s="52" t="str">
        <f>IFERROR(Table3[[#This Row],[Fuel Qty ]]*Table3[[#This Row],[EF (KgCO2e/mmbtu)]]*Table3[[#This Row],[HHV (mmbtu/fuel unit)]]/1000,"")</f>
        <v/>
      </c>
    </row>
    <row r="42" spans="1:7" x14ac:dyDescent="0.25">
      <c r="A42" s="51"/>
      <c r="B42" s="26"/>
      <c r="C42" s="23" t="str">
        <f>IFERROR(VLOOKUP(A42,'list items (hide)'!A:E,5,FALSE),"")</f>
        <v/>
      </c>
      <c r="D42" s="25"/>
      <c r="E42" s="23" t="str">
        <f>IFERROR(IF(Table3[[#This Row],[Fuel Source]]="In State", VLOOKUP(A42,'list items (hide)'!A:C,3,FALSE), VLOOKUP(A42,'list items (hide)'!A:C,2,FALSE)),"")</f>
        <v/>
      </c>
      <c r="F42" s="24" t="str">
        <f>IFERROR(VLOOKUP(A42,'list items (hide)'!A:D,4,FALSE),"")</f>
        <v/>
      </c>
      <c r="G42" s="52" t="str">
        <f>IFERROR(Table3[[#This Row],[Fuel Qty ]]*Table3[[#This Row],[EF (KgCO2e/mmbtu)]]*Table3[[#This Row],[HHV (mmbtu/fuel unit)]]/1000,"")</f>
        <v/>
      </c>
    </row>
    <row r="43" spans="1:7" x14ac:dyDescent="0.25">
      <c r="A43" s="51"/>
      <c r="B43" s="26"/>
      <c r="C43" s="23" t="str">
        <f>IFERROR(VLOOKUP(A43,'list items (hide)'!A:E,5,FALSE),"")</f>
        <v/>
      </c>
      <c r="D43" s="25"/>
      <c r="E43" s="23" t="str">
        <f>IFERROR(IF(Table3[[#This Row],[Fuel Source]]="In State", VLOOKUP(A43,'list items (hide)'!A:C,3,FALSE), VLOOKUP(A43,'list items (hide)'!A:C,2,FALSE)),"")</f>
        <v/>
      </c>
      <c r="F43" s="24" t="str">
        <f>IFERROR(VLOOKUP(A43,'list items (hide)'!A:D,4,FALSE),"")</f>
        <v/>
      </c>
      <c r="G43" s="52" t="str">
        <f>IFERROR(Table3[[#This Row],[Fuel Qty ]]*Table3[[#This Row],[EF (KgCO2e/mmbtu)]]*Table3[[#This Row],[HHV (mmbtu/fuel unit)]]/1000,"")</f>
        <v/>
      </c>
    </row>
    <row r="44" spans="1:7" x14ac:dyDescent="0.25">
      <c r="A44" s="51"/>
      <c r="B44" s="26"/>
      <c r="C44" s="23" t="str">
        <f>IFERROR(VLOOKUP(A44,'list items (hide)'!A:E,5,FALSE),"")</f>
        <v/>
      </c>
      <c r="D44" s="25"/>
      <c r="E44" s="23" t="str">
        <f>IFERROR(IF(Table3[[#This Row],[Fuel Source]]="In State", VLOOKUP(A44,'list items (hide)'!A:C,3,FALSE), VLOOKUP(A44,'list items (hide)'!A:C,2,FALSE)),"")</f>
        <v/>
      </c>
      <c r="F44" s="24" t="str">
        <f>IFERROR(VLOOKUP(A44,'list items (hide)'!A:D,4,FALSE),"")</f>
        <v/>
      </c>
      <c r="G44" s="52" t="str">
        <f>IFERROR(Table3[[#This Row],[Fuel Qty ]]*Table3[[#This Row],[EF (KgCO2e/mmbtu)]]*Table3[[#This Row],[HHV (mmbtu/fuel unit)]]/1000,"")</f>
        <v/>
      </c>
    </row>
    <row r="45" spans="1:7" x14ac:dyDescent="0.25">
      <c r="A45" s="51"/>
      <c r="B45" s="26"/>
      <c r="C45" s="23" t="str">
        <f>IFERROR(VLOOKUP(A45,'list items (hide)'!A:E,5,FALSE),"")</f>
        <v/>
      </c>
      <c r="D45" s="25"/>
      <c r="E45" s="23" t="str">
        <f>IFERROR(IF(Table3[[#This Row],[Fuel Source]]="In State", VLOOKUP(A45,'list items (hide)'!A:C,3,FALSE), VLOOKUP(A45,'list items (hide)'!A:C,2,FALSE)),"")</f>
        <v/>
      </c>
      <c r="F45" s="24" t="str">
        <f>IFERROR(VLOOKUP(A45,'list items (hide)'!A:D,4,FALSE),"")</f>
        <v/>
      </c>
      <c r="G45" s="52" t="str">
        <f>IFERROR(Table3[[#This Row],[Fuel Qty ]]*Table3[[#This Row],[EF (KgCO2e/mmbtu)]]*Table3[[#This Row],[HHV (mmbtu/fuel unit)]]/1000,"")</f>
        <v/>
      </c>
    </row>
    <row r="46" spans="1:7" x14ac:dyDescent="0.25">
      <c r="A46" s="51"/>
      <c r="B46" s="26"/>
      <c r="C46" s="23" t="str">
        <f>IFERROR(VLOOKUP(A46,'list items (hide)'!A:E,5,FALSE),"")</f>
        <v/>
      </c>
      <c r="D46" s="25"/>
      <c r="E46" s="23" t="str">
        <f>IFERROR(IF(Table3[[#This Row],[Fuel Source]]="In State", VLOOKUP(A46,'list items (hide)'!A:C,3,FALSE), VLOOKUP(A46,'list items (hide)'!A:C,2,FALSE)),"")</f>
        <v/>
      </c>
      <c r="F46" s="24" t="str">
        <f>IFERROR(VLOOKUP(A46,'list items (hide)'!A:D,4,FALSE),"")</f>
        <v/>
      </c>
      <c r="G46" s="52" t="str">
        <f>IFERROR(Table3[[#This Row],[Fuel Qty ]]*Table3[[#This Row],[EF (KgCO2e/mmbtu)]]*Table3[[#This Row],[HHV (mmbtu/fuel unit)]]/1000,"")</f>
        <v/>
      </c>
    </row>
    <row r="47" spans="1:7" x14ac:dyDescent="0.25">
      <c r="A47" s="51"/>
      <c r="B47" s="26"/>
      <c r="C47" s="23" t="str">
        <f>IFERROR(VLOOKUP(A47,'list items (hide)'!A:E,5,FALSE),"")</f>
        <v/>
      </c>
      <c r="D47" s="26"/>
      <c r="E47" s="23" t="str">
        <f>IFERROR(IF(Table3[[#This Row],[Fuel Source]]="In State", VLOOKUP(A47,'list items (hide)'!A:C,3,FALSE), VLOOKUP(A47,'list items (hide)'!A:C,2,FALSE)),"")</f>
        <v/>
      </c>
      <c r="F47" s="24" t="str">
        <f>IFERROR(VLOOKUP(A47,'list items (hide)'!A:D,4,FALSE),"")</f>
        <v/>
      </c>
      <c r="G47" s="52" t="str">
        <f>IFERROR(Table3[[#This Row],[Fuel Qty ]]*Table3[[#This Row],[EF (KgCO2e/mmbtu)]]*Table3[[#This Row],[HHV (mmbtu/fuel unit)]]/1000,"")</f>
        <v/>
      </c>
    </row>
    <row r="48" spans="1:7" ht="18" x14ac:dyDescent="0.35">
      <c r="A48" s="37"/>
      <c r="B48" s="20"/>
      <c r="C48" s="20"/>
      <c r="D48" s="20"/>
      <c r="E48" s="35"/>
      <c r="F48" s="36" t="s">
        <v>19</v>
      </c>
      <c r="G48" s="38">
        <f>SUMIF(Table3[Emissions CO2e (Mt)], "&gt;0")</f>
        <v>0</v>
      </c>
    </row>
    <row r="49" spans="1:7" ht="15.75" thickBot="1" x14ac:dyDescent="0.3">
      <c r="A49" s="39" t="s">
        <v>20</v>
      </c>
      <c r="B49" s="40"/>
      <c r="C49" s="40"/>
      <c r="D49" s="40"/>
      <c r="E49" s="40"/>
      <c r="F49" s="40"/>
      <c r="G49" s="41"/>
    </row>
  </sheetData>
  <sheetProtection algorithmName="SHA-512" hashValue="wWjv3Gjb2kOE5mVQPJmx7heL/KE1oK0QBnrnxG3TYdy5PEFWCKs3ajA5GNFhzv+Q4ZTvYwRfbzLFvc8t1u67EA==" saltValue="x4pRLl1C8QFpNI+c+y5gzA==" spinCount="100000" sheet="1" objects="1" scenarios="1"/>
  <mergeCells count="8">
    <mergeCell ref="A1:G1"/>
    <mergeCell ref="A14:B14"/>
    <mergeCell ref="A11:G11"/>
    <mergeCell ref="A9:G9"/>
    <mergeCell ref="A10:G10"/>
    <mergeCell ref="A4:G4"/>
    <mergeCell ref="A5:G5"/>
    <mergeCell ref="A6:G6"/>
  </mergeCells>
  <dataValidations count="2">
    <dataValidation type="list" allowBlank="1" showInputMessage="1" showErrorMessage="1" sqref="N18" xr:uid="{6E014C06-D477-4A96-AA7C-08E58B2A1783}">
      <formula1>Fuel_Type</formula1>
    </dataValidation>
    <dataValidation type="list" allowBlank="1" showInputMessage="1" showErrorMessage="1" sqref="D17:D47" xr:uid="{2B24099D-C250-46B4-B139-26EBCDB362B1}">
      <formula1>Emissions_Type</formula1>
    </dataValidation>
  </dataValidations>
  <pageMargins left="0.7" right="0.7" top="0.75" bottom="0.75" header="0.3" footer="0.3"/>
  <pageSetup fitToHeight="0" orientation="portrait"/>
  <tableParts count="1">
    <tablePart r:id="rId1"/>
  </tableParts>
  <extLst>
    <ext xmlns:x14="http://schemas.microsoft.com/office/spreadsheetml/2009/9/main" uri="{CCE6A557-97BC-4b89-ADB6-D9C93CAAB3DF}">
      <x14:dataValidations xmlns:xm="http://schemas.microsoft.com/office/excel/2006/main" count="2">
        <x14:dataValidation type="list" allowBlank="1" showInputMessage="1" showErrorMessage="1" xr:uid="{D80314FD-A63A-41CC-947A-C6BD8016E484}">
          <x14:formula1>
            <xm:f>'list items (hide)'!$A$2:$A$36</xm:f>
          </x14:formula1>
          <xm:sqref>A17 A18 A19:A22 A24:A47</xm:sqref>
        </x14:dataValidation>
        <x14:dataValidation type="list" allowBlank="1" showInputMessage="1" showErrorMessage="1" errorTitle="Invalid Entry" error="Please select a fuel from the list. If your fuel is not in the list choose the most similar fuel for estimation purposes. " xr:uid="{71948402-6FF3-471A-831B-C04E8D44DB39}">
          <x14:formula1>
            <xm:f>'list items (hide)'!$A$2:$A$36</xm:f>
          </x14:formula1>
          <xm:sqref>A23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E6636-851C-4DE6-93DF-4067ED6C81A8}">
  <dimension ref="A1:H48"/>
  <sheetViews>
    <sheetView workbookViewId="0">
      <pane ySplit="1" topLeftCell="A13" activePane="bottomLeft" state="frozen"/>
      <selection pane="bottomLeft" activeCell="E13" sqref="E13"/>
    </sheetView>
  </sheetViews>
  <sheetFormatPr defaultRowHeight="15" x14ac:dyDescent="0.25"/>
  <cols>
    <col min="1" max="1" width="30.7109375" customWidth="1"/>
    <col min="2" max="2" width="17.28515625" customWidth="1"/>
    <col min="3" max="3" width="21.85546875" bestFit="1" customWidth="1"/>
    <col min="4" max="4" width="20.42578125" bestFit="1" customWidth="1"/>
    <col min="5" max="5" width="20.85546875" bestFit="1" customWidth="1"/>
    <col min="6" max="6" width="20" bestFit="1" customWidth="1"/>
    <col min="7" max="7" width="12.28515625" bestFit="1" customWidth="1"/>
    <col min="8" max="8" width="18.5703125" customWidth="1"/>
  </cols>
  <sheetData>
    <row r="1" spans="1:8" ht="45" x14ac:dyDescent="0.25">
      <c r="A1" s="66" t="s">
        <v>21</v>
      </c>
      <c r="B1" s="66" t="s">
        <v>22</v>
      </c>
      <c r="C1" s="66" t="s">
        <v>23</v>
      </c>
      <c r="D1" s="66" t="s">
        <v>24</v>
      </c>
      <c r="E1" s="66" t="s">
        <v>25</v>
      </c>
      <c r="F1" s="66" t="s">
        <v>26</v>
      </c>
      <c r="G1" s="66" t="s">
        <v>27</v>
      </c>
      <c r="H1" s="66" t="s">
        <v>28</v>
      </c>
    </row>
    <row r="2" spans="1:8" x14ac:dyDescent="0.25">
      <c r="A2" s="4" t="s">
        <v>29</v>
      </c>
      <c r="B2" s="4" t="s">
        <v>30</v>
      </c>
      <c r="C2" s="4"/>
      <c r="D2" s="4"/>
      <c r="E2" s="4"/>
      <c r="F2" s="4"/>
      <c r="G2" s="4"/>
      <c r="H2" s="4"/>
    </row>
    <row r="3" spans="1:8" x14ac:dyDescent="0.25">
      <c r="A3" s="5" t="s">
        <v>31</v>
      </c>
      <c r="B3" s="5">
        <v>25.09</v>
      </c>
      <c r="C3" s="5">
        <v>103.69</v>
      </c>
      <c r="D3" s="5">
        <v>11</v>
      </c>
      <c r="E3" s="5">
        <v>1.6</v>
      </c>
      <c r="F3" s="5">
        <v>41.939</v>
      </c>
      <c r="G3" s="5">
        <f>C3+(D3*84/1000)+(E3*264/1000)+F3</f>
        <v>146.97540000000001</v>
      </c>
      <c r="H3" s="5">
        <f>C3+(D3*84/1000)+(E3*264/1000)</f>
        <v>105.0364</v>
      </c>
    </row>
    <row r="4" spans="1:8" x14ac:dyDescent="0.25">
      <c r="A4" s="5" t="s">
        <v>32</v>
      </c>
      <c r="B4" s="5">
        <v>24.93</v>
      </c>
      <c r="C4" s="5">
        <v>93.28</v>
      </c>
      <c r="D4" s="5">
        <v>11</v>
      </c>
      <c r="E4" s="5">
        <v>1.6</v>
      </c>
      <c r="F4" s="5">
        <v>41.939</v>
      </c>
      <c r="G4" s="5">
        <f>C4+(D4*84/1000)+(E4*264/1000)+F4</f>
        <v>136.56540000000001</v>
      </c>
      <c r="H4" s="5">
        <f>C4+(D4*84/1000)+(E4*264/1000)</f>
        <v>94.626400000000004</v>
      </c>
    </row>
    <row r="5" spans="1:8" x14ac:dyDescent="0.25">
      <c r="A5" s="5" t="s">
        <v>33</v>
      </c>
      <c r="B5" s="5">
        <v>17.25</v>
      </c>
      <c r="C5" s="5">
        <v>97.17</v>
      </c>
      <c r="D5" s="5">
        <v>11</v>
      </c>
      <c r="E5" s="5">
        <v>1.6</v>
      </c>
      <c r="F5" s="5">
        <v>41.939</v>
      </c>
      <c r="G5" s="5">
        <f>C5+(D5*84/1000)+(E5*264/1000)+F5</f>
        <v>140.4554</v>
      </c>
      <c r="H5" s="5">
        <f>C5+(D5*84/1000)+(E5*264/1000)</f>
        <v>98.516400000000004</v>
      </c>
    </row>
    <row r="6" spans="1:8" x14ac:dyDescent="0.25">
      <c r="A6" s="5" t="s">
        <v>34</v>
      </c>
      <c r="B6" s="5">
        <v>14.21</v>
      </c>
      <c r="C6" s="5">
        <v>97.72</v>
      </c>
      <c r="D6" s="5">
        <v>11</v>
      </c>
      <c r="E6" s="5">
        <v>1.6</v>
      </c>
      <c r="F6" s="5">
        <v>41.939</v>
      </c>
      <c r="G6" s="5">
        <f>C6+(D6*84/1000)+(E6*264/1000)+F6</f>
        <v>141.00540000000001</v>
      </c>
      <c r="H6" s="5">
        <f>C6+(D6*84/1000)+(E6*264/1000)</f>
        <v>99.066400000000002</v>
      </c>
    </row>
    <row r="7" spans="1:8" x14ac:dyDescent="0.25">
      <c r="A7" s="5" t="s">
        <v>35</v>
      </c>
      <c r="B7" s="5">
        <v>24.8</v>
      </c>
      <c r="C7" s="5">
        <v>113.67</v>
      </c>
      <c r="D7" s="5">
        <v>11</v>
      </c>
      <c r="E7" s="5">
        <v>1.6</v>
      </c>
      <c r="F7" s="5">
        <v>41.939</v>
      </c>
      <c r="G7" s="5">
        <f>C7+(D7*84/1000)+(E7*264/1000)+F7</f>
        <v>156.9554</v>
      </c>
      <c r="H7" s="5">
        <f>C7+(D7*84/1000)+(E7*264/1000)</f>
        <v>115.0164</v>
      </c>
    </row>
    <row r="8" spans="1:8" x14ac:dyDescent="0.25">
      <c r="A8" s="4" t="s">
        <v>36</v>
      </c>
      <c r="B8" s="4" t="s">
        <v>37</v>
      </c>
      <c r="C8" s="4"/>
      <c r="D8" s="4"/>
      <c r="E8" s="4"/>
      <c r="F8" s="4"/>
      <c r="G8" s="4"/>
      <c r="H8" s="4"/>
    </row>
    <row r="9" spans="1:8" x14ac:dyDescent="0.25">
      <c r="A9" s="5" t="s">
        <v>38</v>
      </c>
      <c r="B9" s="5">
        <v>0.13900000000000001</v>
      </c>
      <c r="C9" s="5">
        <v>73.25</v>
      </c>
      <c r="D9" s="5">
        <v>3</v>
      </c>
      <c r="E9" s="5">
        <v>0.6</v>
      </c>
      <c r="F9" s="5">
        <v>23.54</v>
      </c>
      <c r="G9" s="5">
        <f t="shared" ref="G9:G24" si="0">C9+(D9*84/1000)+(E9*264/1000)+F9</f>
        <v>97.200400000000002</v>
      </c>
      <c r="H9" s="5">
        <f t="shared" ref="H9:H24" si="1">C9+(D9*84/1000)+(E9*264/1000)</f>
        <v>73.660399999999996</v>
      </c>
    </row>
    <row r="10" spans="1:8" x14ac:dyDescent="0.25">
      <c r="A10" s="5" t="s">
        <v>39</v>
      </c>
      <c r="B10" s="5">
        <v>0.13800000000000001</v>
      </c>
      <c r="C10" s="5">
        <v>73.959999999999994</v>
      </c>
      <c r="D10" s="5">
        <v>3</v>
      </c>
      <c r="E10" s="5">
        <v>0.6</v>
      </c>
      <c r="F10" s="5">
        <v>23.54</v>
      </c>
      <c r="G10" s="5">
        <f t="shared" si="0"/>
        <v>97.910399999999981</v>
      </c>
      <c r="H10" s="5">
        <f t="shared" si="1"/>
        <v>74.370399999999989</v>
      </c>
    </row>
    <row r="11" spans="1:8" x14ac:dyDescent="0.25">
      <c r="A11" s="5" t="s">
        <v>40</v>
      </c>
      <c r="B11" s="5">
        <v>0.14599999999999999</v>
      </c>
      <c r="C11" s="5">
        <v>75.040000000000006</v>
      </c>
      <c r="D11" s="5">
        <v>3</v>
      </c>
      <c r="E11" s="5">
        <v>0.6</v>
      </c>
      <c r="F11" s="5">
        <v>23.54</v>
      </c>
      <c r="G11" s="5">
        <f t="shared" si="0"/>
        <v>98.990399999999994</v>
      </c>
      <c r="H11" s="5">
        <f t="shared" si="1"/>
        <v>75.450400000000002</v>
      </c>
    </row>
    <row r="12" spans="1:8" x14ac:dyDescent="0.25">
      <c r="A12" s="5" t="s">
        <v>41</v>
      </c>
      <c r="B12" s="5">
        <v>0.13500000000000001</v>
      </c>
      <c r="C12" s="5">
        <v>75.2</v>
      </c>
      <c r="D12" s="5">
        <v>3</v>
      </c>
      <c r="E12" s="5">
        <v>0.6</v>
      </c>
      <c r="F12" s="5">
        <v>18.193000000000001</v>
      </c>
      <c r="G12" s="5">
        <f t="shared" si="0"/>
        <v>93.803399999999996</v>
      </c>
      <c r="H12" s="5">
        <f t="shared" si="1"/>
        <v>75.610399999999998</v>
      </c>
    </row>
    <row r="13" spans="1:8" x14ac:dyDescent="0.25">
      <c r="A13" s="5" t="s">
        <v>42</v>
      </c>
      <c r="B13" s="5">
        <v>9.1999999999999998E-2</v>
      </c>
      <c r="C13" s="5">
        <v>62.98</v>
      </c>
      <c r="D13" s="5">
        <v>3</v>
      </c>
      <c r="E13" s="5">
        <v>0.6</v>
      </c>
      <c r="F13" s="5">
        <v>26.474</v>
      </c>
      <c r="G13" s="5">
        <f t="shared" si="0"/>
        <v>89.864400000000003</v>
      </c>
      <c r="H13" s="5">
        <f t="shared" si="1"/>
        <v>63.3904</v>
      </c>
    </row>
    <row r="14" spans="1:8" x14ac:dyDescent="0.25">
      <c r="A14" s="5" t="s">
        <v>43</v>
      </c>
      <c r="B14" s="5">
        <v>9.0999999999999998E-2</v>
      </c>
      <c r="C14" s="5">
        <v>65.95</v>
      </c>
      <c r="D14" s="5">
        <v>3</v>
      </c>
      <c r="E14" s="5">
        <v>0.6</v>
      </c>
      <c r="F14" s="5">
        <v>26.474</v>
      </c>
      <c r="G14" s="5">
        <f t="shared" si="0"/>
        <v>92.834400000000002</v>
      </c>
      <c r="H14" s="5">
        <f t="shared" si="1"/>
        <v>66.360399999999998</v>
      </c>
    </row>
    <row r="15" spans="1:8" x14ac:dyDescent="0.25">
      <c r="A15" s="5" t="s">
        <v>44</v>
      </c>
      <c r="B15" s="5">
        <v>9.6000000000000002E-2</v>
      </c>
      <c r="C15" s="5">
        <v>62.64</v>
      </c>
      <c r="D15" s="5">
        <v>3</v>
      </c>
      <c r="E15" s="5">
        <v>0.6</v>
      </c>
      <c r="F15" s="5">
        <v>40.877000000000002</v>
      </c>
      <c r="G15" s="5">
        <f t="shared" si="0"/>
        <v>103.92740000000001</v>
      </c>
      <c r="H15" s="5">
        <f t="shared" si="1"/>
        <v>63.050400000000003</v>
      </c>
    </row>
    <row r="16" spans="1:8" x14ac:dyDescent="0.25">
      <c r="A16" s="5" t="s">
        <v>45</v>
      </c>
      <c r="B16" s="5">
        <v>0.1</v>
      </c>
      <c r="C16" s="5">
        <v>67.430000000000007</v>
      </c>
      <c r="D16" s="5">
        <v>3</v>
      </c>
      <c r="E16" s="5">
        <v>0.6</v>
      </c>
      <c r="F16" s="5">
        <v>40.877000000000002</v>
      </c>
      <c r="G16" s="5">
        <f t="shared" si="0"/>
        <v>108.7174</v>
      </c>
      <c r="H16" s="5">
        <f t="shared" si="1"/>
        <v>67.840400000000002</v>
      </c>
    </row>
    <row r="17" spans="1:8" x14ac:dyDescent="0.25">
      <c r="A17" s="5" t="s">
        <v>46</v>
      </c>
      <c r="B17" s="5">
        <v>9.7000000000000003E-2</v>
      </c>
      <c r="C17" s="5">
        <v>64.91</v>
      </c>
      <c r="D17" s="5">
        <v>3</v>
      </c>
      <c r="E17" s="5">
        <v>0.6</v>
      </c>
      <c r="F17" s="5">
        <v>40.877000000000002</v>
      </c>
      <c r="G17" s="5">
        <f t="shared" si="0"/>
        <v>106.19739999999999</v>
      </c>
      <c r="H17" s="5">
        <f t="shared" si="1"/>
        <v>65.320399999999992</v>
      </c>
    </row>
    <row r="18" spans="1:8" x14ac:dyDescent="0.25">
      <c r="A18" s="5" t="s">
        <v>47</v>
      </c>
      <c r="B18" s="5">
        <v>0.10299999999999999</v>
      </c>
      <c r="C18" s="5">
        <v>67.739999999999995</v>
      </c>
      <c r="D18" s="5">
        <v>3</v>
      </c>
      <c r="E18" s="5">
        <v>0.6</v>
      </c>
      <c r="F18" s="5">
        <v>40.877000000000002</v>
      </c>
      <c r="G18" s="5">
        <f t="shared" si="0"/>
        <v>109.0274</v>
      </c>
      <c r="H18" s="5">
        <f t="shared" si="1"/>
        <v>68.150399999999991</v>
      </c>
    </row>
    <row r="19" spans="1:8" x14ac:dyDescent="0.25">
      <c r="A19" s="5" t="s">
        <v>48</v>
      </c>
      <c r="B19" s="5">
        <v>0.10100000000000001</v>
      </c>
      <c r="C19" s="5">
        <v>65.150000000000006</v>
      </c>
      <c r="D19" s="5">
        <v>3</v>
      </c>
      <c r="E19" s="5">
        <v>0.6</v>
      </c>
      <c r="F19" s="5">
        <v>40.877000000000002</v>
      </c>
      <c r="G19" s="5">
        <f t="shared" si="0"/>
        <v>106.4374</v>
      </c>
      <c r="H19" s="5">
        <f t="shared" si="1"/>
        <v>65.560400000000001</v>
      </c>
    </row>
    <row r="20" spans="1:8" x14ac:dyDescent="0.25">
      <c r="A20" s="5" t="s">
        <v>49</v>
      </c>
      <c r="B20" s="5">
        <v>0.10299999999999999</v>
      </c>
      <c r="C20" s="5">
        <v>67.73</v>
      </c>
      <c r="D20" s="5">
        <v>3</v>
      </c>
      <c r="E20" s="5">
        <v>0.6</v>
      </c>
      <c r="F20" s="5">
        <v>40.877000000000002</v>
      </c>
      <c r="G20" s="5">
        <f t="shared" si="0"/>
        <v>109.01740000000001</v>
      </c>
      <c r="H20" s="5">
        <f t="shared" si="1"/>
        <v>68.1404</v>
      </c>
    </row>
    <row r="21" spans="1:8" x14ac:dyDescent="0.25">
      <c r="A21" s="5" t="s">
        <v>50</v>
      </c>
      <c r="B21" s="5">
        <v>0.11</v>
      </c>
      <c r="C21" s="5">
        <v>66.83</v>
      </c>
      <c r="D21" s="5">
        <v>3</v>
      </c>
      <c r="E21" s="5">
        <v>0.6</v>
      </c>
      <c r="F21" s="5">
        <v>28.866</v>
      </c>
      <c r="G21" s="5">
        <f t="shared" si="0"/>
        <v>96.106399999999994</v>
      </c>
      <c r="H21" s="5">
        <f t="shared" si="1"/>
        <v>67.240399999999994</v>
      </c>
    </row>
    <row r="22" spans="1:8" x14ac:dyDescent="0.25">
      <c r="A22" s="5" t="s">
        <v>51</v>
      </c>
      <c r="B22" s="5">
        <v>0.125</v>
      </c>
      <c r="C22" s="5">
        <v>70.22</v>
      </c>
      <c r="D22" s="5">
        <v>3</v>
      </c>
      <c r="E22" s="5">
        <v>0.6</v>
      </c>
      <c r="F22" s="5">
        <v>28.866</v>
      </c>
      <c r="G22" s="5">
        <f t="shared" si="0"/>
        <v>99.496399999999994</v>
      </c>
      <c r="H22" s="5">
        <f t="shared" si="1"/>
        <v>70.630399999999995</v>
      </c>
    </row>
    <row r="23" spans="1:8" x14ac:dyDescent="0.25">
      <c r="A23" s="5" t="s">
        <v>52</v>
      </c>
      <c r="B23" s="5">
        <v>0.12</v>
      </c>
      <c r="C23" s="5">
        <v>69.25</v>
      </c>
      <c r="D23" s="5">
        <v>3</v>
      </c>
      <c r="E23" s="5">
        <v>0.6</v>
      </c>
      <c r="F23" s="5">
        <v>18.193000000000001</v>
      </c>
      <c r="G23" s="5">
        <f t="shared" si="0"/>
        <v>87.853399999999993</v>
      </c>
      <c r="H23" s="5">
        <f t="shared" si="1"/>
        <v>69.660399999999996</v>
      </c>
    </row>
    <row r="24" spans="1:8" x14ac:dyDescent="0.25">
      <c r="A24" s="5" t="s">
        <v>53</v>
      </c>
      <c r="B24" s="5">
        <v>0.13500000000000001</v>
      </c>
      <c r="C24" s="5">
        <v>72.22</v>
      </c>
      <c r="D24" s="5">
        <v>3</v>
      </c>
      <c r="E24" s="5">
        <v>0.6</v>
      </c>
      <c r="F24" s="5">
        <v>18.193000000000001</v>
      </c>
      <c r="G24" s="5">
        <f t="shared" si="0"/>
        <v>90.823399999999992</v>
      </c>
      <c r="H24" s="5">
        <f t="shared" si="1"/>
        <v>72.630399999999995</v>
      </c>
    </row>
    <row r="25" spans="1:8" x14ac:dyDescent="0.25">
      <c r="A25" s="4" t="s">
        <v>54</v>
      </c>
      <c r="B25" s="4" t="s">
        <v>55</v>
      </c>
      <c r="C25" s="4"/>
      <c r="D25" s="4"/>
      <c r="E25" s="4"/>
      <c r="F25" s="4"/>
      <c r="G25" s="4"/>
      <c r="H25" s="4"/>
    </row>
    <row r="26" spans="1:8" ht="15.75" thickBot="1" x14ac:dyDescent="0.3">
      <c r="A26" s="8" t="s">
        <v>56</v>
      </c>
      <c r="B26" s="8">
        <f>1.026*10^-3</f>
        <v>1.026E-3</v>
      </c>
      <c r="C26" s="8">
        <v>53.06</v>
      </c>
      <c r="D26" s="8">
        <v>1</v>
      </c>
      <c r="E26" s="8">
        <v>0.1</v>
      </c>
      <c r="F26" s="5">
        <v>40.877000000000002</v>
      </c>
      <c r="G26" s="5">
        <f>C26+(D26*84/1000)+(E26*264/1000)+F26</f>
        <v>94.04740000000001</v>
      </c>
      <c r="H26" s="5">
        <f>C26+(D26*84/1000)+(E26*264/1000)</f>
        <v>53.170400000000008</v>
      </c>
    </row>
    <row r="27" spans="1:8" x14ac:dyDescent="0.25">
      <c r="A27" s="9" t="s">
        <v>57</v>
      </c>
      <c r="B27" s="10" t="s">
        <v>58</v>
      </c>
      <c r="C27" s="10"/>
      <c r="D27" s="10"/>
      <c r="E27" s="11"/>
      <c r="F27" s="6"/>
      <c r="G27" s="4"/>
      <c r="H27" s="4"/>
    </row>
    <row r="28" spans="1:8" x14ac:dyDescent="0.25">
      <c r="A28" s="12" t="s">
        <v>59</v>
      </c>
      <c r="B28" s="5">
        <f>9.95*10^3</f>
        <v>9950</v>
      </c>
      <c r="C28" s="5">
        <v>90.7</v>
      </c>
      <c r="D28" s="5">
        <v>32</v>
      </c>
      <c r="E28" s="13">
        <v>4.2</v>
      </c>
      <c r="F28" s="7"/>
      <c r="G28" s="5"/>
      <c r="H28" s="5">
        <f>C28+(D28*84/1000)+(E28*264/1000)</f>
        <v>94.496800000000007</v>
      </c>
    </row>
    <row r="29" spans="1:8" x14ac:dyDescent="0.25">
      <c r="A29" s="12" t="s">
        <v>60</v>
      </c>
      <c r="B29" s="5">
        <v>28</v>
      </c>
      <c r="C29" s="5">
        <v>85.97</v>
      </c>
      <c r="D29" s="5">
        <v>32</v>
      </c>
      <c r="E29" s="13">
        <v>4.2</v>
      </c>
      <c r="F29" s="7"/>
      <c r="G29" s="5"/>
      <c r="H29" s="5">
        <f>C29+(D29*84/1000)+(E29*264/1000)</f>
        <v>89.766800000000003</v>
      </c>
    </row>
    <row r="30" spans="1:8" x14ac:dyDescent="0.25">
      <c r="A30" s="12" t="s">
        <v>61</v>
      </c>
      <c r="B30" s="5">
        <v>38</v>
      </c>
      <c r="C30" s="5">
        <v>75</v>
      </c>
      <c r="D30" s="5">
        <v>32</v>
      </c>
      <c r="E30" s="13">
        <v>4.2</v>
      </c>
      <c r="F30" s="7"/>
      <c r="G30" s="5"/>
      <c r="H30" s="5">
        <f>C30+(D30*84/1000)+(E30*264/1000)</f>
        <v>78.796800000000005</v>
      </c>
    </row>
    <row r="31" spans="1:8" x14ac:dyDescent="0.25">
      <c r="A31" s="14" t="s">
        <v>62</v>
      </c>
      <c r="B31" s="4" t="s">
        <v>30</v>
      </c>
      <c r="C31" s="4"/>
      <c r="D31" s="4"/>
      <c r="E31" s="15"/>
      <c r="F31" s="6"/>
      <c r="G31" s="4"/>
      <c r="H31" s="4"/>
    </row>
    <row r="32" spans="1:8" x14ac:dyDescent="0.25">
      <c r="A32" s="12" t="s">
        <v>63</v>
      </c>
      <c r="B32" s="5">
        <v>17.48</v>
      </c>
      <c r="C32" s="5">
        <v>93.8</v>
      </c>
      <c r="D32" s="5">
        <v>7.2</v>
      </c>
      <c r="E32" s="13">
        <v>3.6</v>
      </c>
      <c r="F32" s="7"/>
      <c r="G32" s="5"/>
      <c r="H32" s="5">
        <f>C32+(D32*84/1000)+(E32*264/1000)</f>
        <v>95.355199999999996</v>
      </c>
    </row>
    <row r="33" spans="1:8" x14ac:dyDescent="0.25">
      <c r="A33" s="12" t="s">
        <v>64</v>
      </c>
      <c r="B33" s="5">
        <v>8.25</v>
      </c>
      <c r="C33" s="5">
        <v>118.17</v>
      </c>
      <c r="D33" s="5">
        <v>32</v>
      </c>
      <c r="E33" s="13">
        <v>4.2</v>
      </c>
      <c r="F33" s="7"/>
      <c r="G33" s="5"/>
      <c r="H33" s="5">
        <f>C33+(D33*84/1000)+(E33*264/1000)</f>
        <v>121.96680000000001</v>
      </c>
    </row>
    <row r="34" spans="1:8" x14ac:dyDescent="0.25">
      <c r="A34" s="12" t="s">
        <v>65</v>
      </c>
      <c r="B34" s="5">
        <v>8</v>
      </c>
      <c r="C34" s="5">
        <v>111.84</v>
      </c>
      <c r="D34" s="5">
        <v>32</v>
      </c>
      <c r="E34" s="13">
        <v>4.2</v>
      </c>
      <c r="F34" s="7"/>
      <c r="G34" s="5"/>
      <c r="H34" s="5">
        <f>C34+(D34*84/1000)+(E34*264/1000)</f>
        <v>115.63680000000001</v>
      </c>
    </row>
    <row r="35" spans="1:8" x14ac:dyDescent="0.25">
      <c r="A35" s="12" t="s">
        <v>66</v>
      </c>
      <c r="B35" s="5">
        <v>10.39</v>
      </c>
      <c r="C35" s="5">
        <v>105.51</v>
      </c>
      <c r="D35" s="5">
        <v>32</v>
      </c>
      <c r="E35" s="13">
        <v>4.2</v>
      </c>
      <c r="F35" s="7"/>
      <c r="G35" s="5"/>
      <c r="H35" s="5">
        <f>C35+(D35*84/1000)+(E35*264/1000)</f>
        <v>109.30680000000001</v>
      </c>
    </row>
    <row r="36" spans="1:8" x14ac:dyDescent="0.25">
      <c r="A36" s="14" t="s">
        <v>67</v>
      </c>
      <c r="B36" s="4" t="s">
        <v>68</v>
      </c>
      <c r="C36" s="4"/>
      <c r="D36" s="4"/>
      <c r="E36" s="15"/>
      <c r="F36" s="6"/>
      <c r="G36" s="4"/>
      <c r="H36" s="4"/>
    </row>
    <row r="37" spans="1:8" x14ac:dyDescent="0.25">
      <c r="A37" s="12" t="s">
        <v>69</v>
      </c>
      <c r="B37" s="5">
        <f>0.485 * 10^-3</f>
        <v>4.8499999999999997E-4</v>
      </c>
      <c r="C37" s="5">
        <v>52.07</v>
      </c>
      <c r="D37" s="5">
        <v>3.2</v>
      </c>
      <c r="E37" s="13">
        <v>0.63</v>
      </c>
      <c r="F37" s="7"/>
      <c r="G37" s="5"/>
      <c r="H37" s="5">
        <f>C37+(D37*84/1000)+(E37*264/1000)</f>
        <v>52.505119999999998</v>
      </c>
    </row>
    <row r="38" spans="1:8" x14ac:dyDescent="0.25">
      <c r="A38" s="12" t="s">
        <v>70</v>
      </c>
      <c r="B38" s="5">
        <f>0.655* 10^-3</f>
        <v>6.5500000000000009E-4</v>
      </c>
      <c r="C38" s="5">
        <v>52.07</v>
      </c>
      <c r="D38" s="5">
        <v>3.2</v>
      </c>
      <c r="E38" s="13">
        <v>0.63</v>
      </c>
      <c r="F38" s="7"/>
      <c r="G38" s="5"/>
      <c r="H38" s="5">
        <f>C38+(D38*84/1000)+(E38*264/1000)</f>
        <v>52.505119999999998</v>
      </c>
    </row>
    <row r="39" spans="1:8" x14ac:dyDescent="0.25">
      <c r="A39" s="14" t="s">
        <v>71</v>
      </c>
      <c r="B39" s="4" t="s">
        <v>72</v>
      </c>
      <c r="C39" s="4"/>
      <c r="D39" s="4"/>
      <c r="E39" s="15"/>
      <c r="F39" s="6"/>
      <c r="G39" s="4"/>
      <c r="H39" s="4"/>
    </row>
    <row r="40" spans="1:8" x14ac:dyDescent="0.25">
      <c r="A40" s="12" t="s">
        <v>73</v>
      </c>
      <c r="B40" s="5">
        <v>8.4000000000000005E-2</v>
      </c>
      <c r="C40" s="5">
        <v>68.44</v>
      </c>
      <c r="D40" s="5">
        <v>1.1000000000000001</v>
      </c>
      <c r="E40" s="13">
        <v>0.11</v>
      </c>
      <c r="F40" s="7"/>
      <c r="G40" s="5"/>
      <c r="H40" s="5">
        <f>C40+(D40*84/1000)+(E40*264/1000)</f>
        <v>68.56143999999999</v>
      </c>
    </row>
    <row r="41" spans="1:8" x14ac:dyDescent="0.25">
      <c r="A41" s="12" t="s">
        <v>74</v>
      </c>
      <c r="B41" s="5">
        <v>0.128</v>
      </c>
      <c r="C41" s="5">
        <v>73.84</v>
      </c>
      <c r="D41" s="5">
        <v>1.1000000000000001</v>
      </c>
      <c r="E41" s="13">
        <v>0.11</v>
      </c>
      <c r="F41" s="7"/>
      <c r="G41" s="5"/>
      <c r="H41" s="5">
        <f>C41+(D41*84/1000)+(E41*264/1000)</f>
        <v>73.961439999999996</v>
      </c>
    </row>
    <row r="42" spans="1:8" x14ac:dyDescent="0.25">
      <c r="A42" s="12" t="s">
        <v>75</v>
      </c>
      <c r="B42" s="5">
        <v>0.125</v>
      </c>
      <c r="C42" s="5">
        <v>71.06</v>
      </c>
      <c r="D42" s="5">
        <v>1.1000000000000001</v>
      </c>
      <c r="E42" s="13">
        <v>0.11</v>
      </c>
      <c r="F42" s="7"/>
      <c r="G42" s="5"/>
      <c r="H42" s="5">
        <f>C42+(D42*84/1000)+(E42*264/1000)</f>
        <v>71.181439999999995</v>
      </c>
    </row>
    <row r="43" spans="1:8" ht="15.75" thickBot="1" x14ac:dyDescent="0.3">
      <c r="A43" s="16" t="s">
        <v>76</v>
      </c>
      <c r="B43" s="17">
        <v>0.12</v>
      </c>
      <c r="C43" s="17">
        <v>81.55</v>
      </c>
      <c r="D43" s="17">
        <v>1.1000000000000001</v>
      </c>
      <c r="E43" s="18">
        <v>0.11</v>
      </c>
      <c r="F43" s="7"/>
      <c r="G43" s="5"/>
      <c r="H43" s="5">
        <f>C43+(D43*84/1000)+(E43*264/1000)</f>
        <v>81.67143999999999</v>
      </c>
    </row>
    <row r="46" spans="1:8" x14ac:dyDescent="0.25">
      <c r="A46" t="s">
        <v>77</v>
      </c>
    </row>
    <row r="48" spans="1:8" x14ac:dyDescent="0.25">
      <c r="A48" t="s">
        <v>78</v>
      </c>
    </row>
  </sheetData>
  <sheetProtection algorithmName="SHA-512" hashValue="GwpOh8lAt+g+o5VZZ6PJ/QCCOvoDSywIyE9qfi8EEPkAiByfzRscXw3TxxFHCW/unLv7E4o/r9gZAkn9YCAnFg==" saltValue="nnwi0CUdhMMAHGLfmRdk5A=="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CEC08-9B7B-4706-A101-6FB21A5D5128}">
  <dimension ref="A1:I91"/>
  <sheetViews>
    <sheetView tabSelected="1" workbookViewId="0">
      <selection sqref="A1:G1"/>
    </sheetView>
  </sheetViews>
  <sheetFormatPr defaultRowHeight="15" x14ac:dyDescent="0.25"/>
  <cols>
    <col min="1" max="1" width="21.140625" customWidth="1"/>
    <col min="2" max="2" width="39.28515625" customWidth="1"/>
    <col min="3" max="3" width="17.42578125" customWidth="1"/>
    <col min="4" max="4" width="9.28515625" customWidth="1"/>
    <col min="6" max="6" width="9.28515625" customWidth="1"/>
  </cols>
  <sheetData>
    <row r="1" spans="1:9" ht="26.25" x14ac:dyDescent="0.4">
      <c r="A1" s="130" t="s">
        <v>132</v>
      </c>
      <c r="B1" s="131"/>
      <c r="C1" s="131"/>
      <c r="D1" s="131"/>
      <c r="E1" s="131"/>
      <c r="F1" s="131"/>
      <c r="G1" s="132"/>
    </row>
    <row r="2" spans="1:9" ht="18.75" x14ac:dyDescent="0.3">
      <c r="A2" s="67" t="s">
        <v>1</v>
      </c>
      <c r="B2" s="68"/>
      <c r="C2" s="63"/>
      <c r="D2" s="63"/>
      <c r="E2" s="63"/>
      <c r="F2" s="63"/>
      <c r="G2" s="69"/>
    </row>
    <row r="3" spans="1:9" ht="30.75" customHeight="1" x14ac:dyDescent="0.25">
      <c r="A3" s="125" t="s">
        <v>2</v>
      </c>
      <c r="B3" s="119"/>
      <c r="C3" s="119"/>
      <c r="D3" s="119"/>
      <c r="E3" s="119"/>
      <c r="F3" s="119"/>
      <c r="G3" s="126"/>
      <c r="I3" s="61"/>
    </row>
    <row r="4" spans="1:9" ht="50.25" customHeight="1" x14ac:dyDescent="0.25">
      <c r="A4" s="127" t="s">
        <v>79</v>
      </c>
      <c r="B4" s="128"/>
      <c r="C4" s="128"/>
      <c r="D4" s="128"/>
      <c r="E4" s="128"/>
      <c r="F4" s="128"/>
      <c r="G4" s="129"/>
    </row>
    <row r="5" spans="1:9" ht="15" customHeight="1" x14ac:dyDescent="0.25">
      <c r="A5" s="93"/>
      <c r="B5" s="94"/>
      <c r="C5" s="94"/>
      <c r="D5" s="94"/>
      <c r="E5" s="94"/>
      <c r="F5" s="94"/>
      <c r="G5" s="95"/>
    </row>
    <row r="6" spans="1:9" ht="15" customHeight="1" x14ac:dyDescent="0.25">
      <c r="A6" s="67" t="s">
        <v>5</v>
      </c>
      <c r="B6" s="79"/>
      <c r="C6" s="79"/>
      <c r="D6" s="79"/>
      <c r="E6" s="79"/>
      <c r="F6" s="79"/>
      <c r="G6" s="80"/>
    </row>
    <row r="7" spans="1:9" ht="30" customHeight="1" x14ac:dyDescent="0.25">
      <c r="A7" s="133" t="s">
        <v>80</v>
      </c>
      <c r="B7" s="134"/>
      <c r="C7" s="134"/>
      <c r="D7" s="134"/>
      <c r="E7" s="134"/>
      <c r="F7" s="134"/>
      <c r="G7" s="135"/>
    </row>
    <row r="8" spans="1:9" ht="30" customHeight="1" x14ac:dyDescent="0.25">
      <c r="A8" s="136" t="s">
        <v>81</v>
      </c>
      <c r="B8" s="119"/>
      <c r="C8" s="119"/>
      <c r="D8" s="119"/>
      <c r="E8" s="119"/>
      <c r="F8" s="119"/>
      <c r="G8" s="126"/>
    </row>
    <row r="9" spans="1:9" ht="30" customHeight="1" x14ac:dyDescent="0.25">
      <c r="A9" s="137" t="s">
        <v>82</v>
      </c>
      <c r="B9" s="138"/>
      <c r="C9" s="138"/>
      <c r="D9" s="138"/>
      <c r="E9" s="138"/>
      <c r="F9" s="138"/>
      <c r="G9" s="81"/>
    </row>
    <row r="10" spans="1:9" ht="18" customHeight="1" x14ac:dyDescent="0.25">
      <c r="A10" s="91"/>
      <c r="B10" s="92"/>
      <c r="C10" s="92"/>
      <c r="D10" s="96"/>
      <c r="E10" s="96"/>
      <c r="F10" s="96"/>
      <c r="G10" s="97"/>
    </row>
    <row r="11" spans="1:9" ht="20.25" customHeight="1" x14ac:dyDescent="0.25">
      <c r="A11" s="141" t="s">
        <v>83</v>
      </c>
      <c r="B11" s="142"/>
      <c r="C11" s="142"/>
      <c r="D11" s="119"/>
      <c r="E11" s="119"/>
      <c r="F11" s="119"/>
      <c r="G11" s="89"/>
    </row>
    <row r="12" spans="1:9" ht="30" customHeight="1" x14ac:dyDescent="0.25">
      <c r="A12" s="90"/>
      <c r="B12" s="88"/>
      <c r="C12" s="88"/>
      <c r="D12" s="88"/>
      <c r="E12" s="88"/>
      <c r="F12" s="88"/>
      <c r="G12" s="89"/>
    </row>
    <row r="13" spans="1:9" ht="30" customHeight="1" x14ac:dyDescent="0.35">
      <c r="A13" s="100" t="s">
        <v>84</v>
      </c>
      <c r="B13" s="88"/>
      <c r="C13" s="88"/>
      <c r="D13" s="88"/>
      <c r="E13" s="88"/>
      <c r="F13" s="88"/>
      <c r="G13" s="89"/>
    </row>
    <row r="14" spans="1:9" ht="30" customHeight="1" x14ac:dyDescent="0.35">
      <c r="A14" s="100" t="s">
        <v>85</v>
      </c>
      <c r="B14" s="99"/>
      <c r="C14" s="99"/>
      <c r="D14" s="99"/>
      <c r="E14" s="99"/>
      <c r="F14" s="88"/>
      <c r="G14" s="89"/>
    </row>
    <row r="15" spans="1:9" ht="32.25" customHeight="1" x14ac:dyDescent="0.25">
      <c r="A15" s="113" t="s">
        <v>86</v>
      </c>
      <c r="B15" s="113"/>
      <c r="C15" s="113"/>
      <c r="D15" s="113"/>
      <c r="E15" s="113"/>
      <c r="F15" s="113"/>
      <c r="G15" s="143"/>
    </row>
    <row r="16" spans="1:9" ht="15" customHeight="1" x14ac:dyDescent="0.25">
      <c r="A16" s="101"/>
      <c r="B16" s="86"/>
      <c r="C16" s="86"/>
      <c r="D16" s="86"/>
      <c r="E16" s="86"/>
      <c r="F16" s="86"/>
      <c r="G16" s="87"/>
    </row>
    <row r="17" spans="1:8" ht="33.6" customHeight="1" x14ac:dyDescent="0.25">
      <c r="A17" s="98" t="s">
        <v>87</v>
      </c>
      <c r="B17" s="71" t="s">
        <v>88</v>
      </c>
      <c r="C17" s="72" t="s">
        <v>89</v>
      </c>
      <c r="D17" s="58"/>
      <c r="E17" s="20"/>
      <c r="F17" s="58"/>
      <c r="G17" s="59"/>
      <c r="H17" s="19"/>
    </row>
    <row r="18" spans="1:8" x14ac:dyDescent="0.25">
      <c r="A18" s="7">
        <v>1960</v>
      </c>
      <c r="B18" s="103"/>
      <c r="C18" s="70">
        <f t="shared" ref="C18:C49" si="0">B18*MCF*DOC*DOCF*F*(16/12)*(EXP(-k*($A$84-A18-1))-EXP(-k*($A$84-A18)))</f>
        <v>0</v>
      </c>
      <c r="D18" s="20"/>
      <c r="E18" s="54" t="s">
        <v>90</v>
      </c>
      <c r="F18" s="55">
        <v>1</v>
      </c>
      <c r="G18" s="53"/>
    </row>
    <row r="19" spans="1:8" x14ac:dyDescent="0.25">
      <c r="A19" s="7">
        <v>1961</v>
      </c>
      <c r="B19" s="103"/>
      <c r="C19" s="70">
        <f t="shared" si="0"/>
        <v>0</v>
      </c>
      <c r="D19" s="20"/>
      <c r="E19" s="56" t="s">
        <v>91</v>
      </c>
      <c r="F19" s="13">
        <v>0.22</v>
      </c>
      <c r="G19" s="53"/>
    </row>
    <row r="20" spans="1:8" x14ac:dyDescent="0.25">
      <c r="A20" s="7">
        <v>1962</v>
      </c>
      <c r="B20" s="103"/>
      <c r="C20" s="70">
        <f t="shared" si="0"/>
        <v>0</v>
      </c>
      <c r="D20" s="20"/>
      <c r="E20" s="56" t="s">
        <v>92</v>
      </c>
      <c r="F20" s="13">
        <v>0.5</v>
      </c>
      <c r="G20" s="53"/>
    </row>
    <row r="21" spans="1:8" x14ac:dyDescent="0.25">
      <c r="A21" s="7">
        <v>1963</v>
      </c>
      <c r="B21" s="103"/>
      <c r="C21" s="70">
        <f t="shared" si="0"/>
        <v>0</v>
      </c>
      <c r="D21" s="20"/>
      <c r="E21" s="56" t="s">
        <v>93</v>
      </c>
      <c r="F21" s="13">
        <v>0.5</v>
      </c>
      <c r="G21" s="53"/>
    </row>
    <row r="22" spans="1:8" ht="15.75" thickBot="1" x14ac:dyDescent="0.3">
      <c r="A22" s="7">
        <v>1964</v>
      </c>
      <c r="B22" s="103"/>
      <c r="C22" s="70">
        <f t="shared" si="0"/>
        <v>0</v>
      </c>
      <c r="D22" s="20"/>
      <c r="E22" s="57" t="s">
        <v>94</v>
      </c>
      <c r="F22" s="18">
        <v>3.7999999999999999E-2</v>
      </c>
      <c r="G22" s="53"/>
    </row>
    <row r="23" spans="1:8" x14ac:dyDescent="0.25">
      <c r="A23" s="7">
        <v>1965</v>
      </c>
      <c r="B23" s="103"/>
      <c r="C23" s="70">
        <f t="shared" si="0"/>
        <v>0</v>
      </c>
      <c r="D23" s="20"/>
      <c r="E23" s="77"/>
      <c r="F23" s="75"/>
      <c r="G23" s="53"/>
    </row>
    <row r="24" spans="1:8" x14ac:dyDescent="0.25">
      <c r="A24" s="7">
        <v>1966</v>
      </c>
      <c r="B24" s="103"/>
      <c r="C24" s="70">
        <f t="shared" si="0"/>
        <v>0</v>
      </c>
      <c r="D24" s="20"/>
      <c r="E24" s="20"/>
      <c r="F24" s="20"/>
      <c r="G24" s="53"/>
    </row>
    <row r="25" spans="1:8" x14ac:dyDescent="0.25">
      <c r="A25" s="7">
        <v>1967</v>
      </c>
      <c r="B25" s="103"/>
      <c r="C25" s="70">
        <f t="shared" si="0"/>
        <v>0</v>
      </c>
      <c r="D25" s="20"/>
      <c r="E25" s="20"/>
      <c r="F25" s="20"/>
      <c r="G25" s="53"/>
    </row>
    <row r="26" spans="1:8" x14ac:dyDescent="0.25">
      <c r="A26" s="7">
        <v>1968</v>
      </c>
      <c r="B26" s="103"/>
      <c r="C26" s="70">
        <f t="shared" si="0"/>
        <v>0</v>
      </c>
      <c r="D26" s="20"/>
      <c r="E26" s="20"/>
      <c r="F26" s="20"/>
      <c r="G26" s="53"/>
    </row>
    <row r="27" spans="1:8" x14ac:dyDescent="0.25">
      <c r="A27" s="7">
        <v>1969</v>
      </c>
      <c r="B27" s="103"/>
      <c r="C27" s="70">
        <f t="shared" si="0"/>
        <v>0</v>
      </c>
      <c r="D27" s="20"/>
      <c r="E27" s="20"/>
      <c r="F27" s="20"/>
      <c r="G27" s="53"/>
    </row>
    <row r="28" spans="1:8" x14ac:dyDescent="0.25">
      <c r="A28" s="7">
        <v>1970</v>
      </c>
      <c r="B28" s="103"/>
      <c r="C28" s="70">
        <f t="shared" si="0"/>
        <v>0</v>
      </c>
      <c r="D28" s="20"/>
      <c r="E28" s="20"/>
      <c r="F28" s="20"/>
      <c r="G28" s="53"/>
    </row>
    <row r="29" spans="1:8" x14ac:dyDescent="0.25">
      <c r="A29" s="7">
        <v>1971</v>
      </c>
      <c r="B29" s="103"/>
      <c r="C29" s="70">
        <f t="shared" si="0"/>
        <v>0</v>
      </c>
      <c r="D29" s="20"/>
      <c r="E29" s="20"/>
      <c r="F29" s="20"/>
      <c r="G29" s="53"/>
    </row>
    <row r="30" spans="1:8" x14ac:dyDescent="0.25">
      <c r="A30" s="7">
        <v>1972</v>
      </c>
      <c r="B30" s="103"/>
      <c r="C30" s="70">
        <f t="shared" si="0"/>
        <v>0</v>
      </c>
      <c r="D30" s="20"/>
      <c r="E30" s="20"/>
      <c r="F30" s="20"/>
      <c r="G30" s="53"/>
    </row>
    <row r="31" spans="1:8" x14ac:dyDescent="0.25">
      <c r="A31" s="7">
        <v>1973</v>
      </c>
      <c r="B31" s="103"/>
      <c r="C31" s="70">
        <f t="shared" si="0"/>
        <v>0</v>
      </c>
      <c r="D31" s="20"/>
      <c r="E31" s="20"/>
      <c r="F31" s="20"/>
      <c r="G31" s="53"/>
    </row>
    <row r="32" spans="1:8" x14ac:dyDescent="0.25">
      <c r="A32" s="7">
        <v>1974</v>
      </c>
      <c r="B32" s="103"/>
      <c r="C32" s="70">
        <f t="shared" si="0"/>
        <v>0</v>
      </c>
      <c r="D32" s="20"/>
      <c r="E32" s="20"/>
      <c r="F32" s="20"/>
      <c r="G32" s="53"/>
    </row>
    <row r="33" spans="1:7" x14ac:dyDescent="0.25">
      <c r="A33" s="7">
        <v>1975</v>
      </c>
      <c r="B33" s="103"/>
      <c r="C33" s="70">
        <f t="shared" si="0"/>
        <v>0</v>
      </c>
      <c r="D33" s="20"/>
      <c r="E33" s="20"/>
      <c r="F33" s="20"/>
      <c r="G33" s="53"/>
    </row>
    <row r="34" spans="1:7" x14ac:dyDescent="0.25">
      <c r="A34" s="7">
        <v>1976</v>
      </c>
      <c r="B34" s="103"/>
      <c r="C34" s="70">
        <f t="shared" si="0"/>
        <v>0</v>
      </c>
      <c r="D34" s="20"/>
      <c r="E34" s="20"/>
      <c r="F34" s="20"/>
      <c r="G34" s="53"/>
    </row>
    <row r="35" spans="1:7" x14ac:dyDescent="0.25">
      <c r="A35" s="7">
        <v>1977</v>
      </c>
      <c r="B35" s="103"/>
      <c r="C35" s="70">
        <f t="shared" si="0"/>
        <v>0</v>
      </c>
      <c r="D35" s="20"/>
      <c r="E35" s="20"/>
      <c r="F35" s="20"/>
      <c r="G35" s="53"/>
    </row>
    <row r="36" spans="1:7" x14ac:dyDescent="0.25">
      <c r="A36" s="7">
        <v>1978</v>
      </c>
      <c r="B36" s="103"/>
      <c r="C36" s="70">
        <f t="shared" si="0"/>
        <v>0</v>
      </c>
      <c r="D36" s="20"/>
      <c r="E36" s="20"/>
      <c r="F36" s="20"/>
      <c r="G36" s="53"/>
    </row>
    <row r="37" spans="1:7" x14ac:dyDescent="0.25">
      <c r="A37" s="7">
        <v>1979</v>
      </c>
      <c r="B37" s="103"/>
      <c r="C37" s="70">
        <f t="shared" si="0"/>
        <v>0</v>
      </c>
      <c r="D37" s="20"/>
      <c r="E37" s="20"/>
      <c r="F37" s="20"/>
      <c r="G37" s="53"/>
    </row>
    <row r="38" spans="1:7" x14ac:dyDescent="0.25">
      <c r="A38" s="7">
        <v>1980</v>
      </c>
      <c r="B38" s="103"/>
      <c r="C38" s="70">
        <f t="shared" si="0"/>
        <v>0</v>
      </c>
      <c r="D38" s="20"/>
      <c r="E38" s="20"/>
      <c r="F38" s="20"/>
      <c r="G38" s="53"/>
    </row>
    <row r="39" spans="1:7" x14ac:dyDescent="0.25">
      <c r="A39" s="7">
        <v>1981</v>
      </c>
      <c r="B39" s="103"/>
      <c r="C39" s="70">
        <f t="shared" si="0"/>
        <v>0</v>
      </c>
      <c r="D39" s="20"/>
      <c r="E39" s="20"/>
      <c r="F39" s="20"/>
      <c r="G39" s="53"/>
    </row>
    <row r="40" spans="1:7" x14ac:dyDescent="0.25">
      <c r="A40" s="7">
        <v>1982</v>
      </c>
      <c r="B40" s="103"/>
      <c r="C40" s="70">
        <f t="shared" si="0"/>
        <v>0</v>
      </c>
      <c r="D40" s="20"/>
      <c r="E40" s="20"/>
      <c r="F40" s="20"/>
      <c r="G40" s="53"/>
    </row>
    <row r="41" spans="1:7" x14ac:dyDescent="0.25">
      <c r="A41" s="7">
        <v>1983</v>
      </c>
      <c r="B41" s="103"/>
      <c r="C41" s="70">
        <f t="shared" si="0"/>
        <v>0</v>
      </c>
      <c r="D41" s="20"/>
      <c r="E41" s="20"/>
      <c r="F41" s="20"/>
      <c r="G41" s="53"/>
    </row>
    <row r="42" spans="1:7" x14ac:dyDescent="0.25">
      <c r="A42" s="7">
        <v>1984</v>
      </c>
      <c r="B42" s="103"/>
      <c r="C42" s="70">
        <f t="shared" si="0"/>
        <v>0</v>
      </c>
      <c r="D42" s="20"/>
      <c r="E42" s="20"/>
      <c r="F42" s="20"/>
      <c r="G42" s="53"/>
    </row>
    <row r="43" spans="1:7" x14ac:dyDescent="0.25">
      <c r="A43" s="7">
        <v>1985</v>
      </c>
      <c r="B43" s="103"/>
      <c r="C43" s="70">
        <f t="shared" si="0"/>
        <v>0</v>
      </c>
      <c r="D43" s="20"/>
      <c r="E43" s="20"/>
      <c r="F43" s="20"/>
      <c r="G43" s="53"/>
    </row>
    <row r="44" spans="1:7" x14ac:dyDescent="0.25">
      <c r="A44" s="7">
        <v>1986</v>
      </c>
      <c r="B44" s="103"/>
      <c r="C44" s="70">
        <f t="shared" si="0"/>
        <v>0</v>
      </c>
      <c r="D44" s="20"/>
      <c r="E44" s="20"/>
      <c r="F44" s="20"/>
      <c r="G44" s="53"/>
    </row>
    <row r="45" spans="1:7" x14ac:dyDescent="0.25">
      <c r="A45" s="7">
        <v>1987</v>
      </c>
      <c r="B45" s="103"/>
      <c r="C45" s="70">
        <f t="shared" si="0"/>
        <v>0</v>
      </c>
      <c r="D45" s="20"/>
      <c r="E45" s="20"/>
      <c r="F45" s="20"/>
      <c r="G45" s="53"/>
    </row>
    <row r="46" spans="1:7" x14ac:dyDescent="0.25">
      <c r="A46" s="7">
        <v>1988</v>
      </c>
      <c r="B46" s="103"/>
      <c r="C46" s="70">
        <f t="shared" si="0"/>
        <v>0</v>
      </c>
      <c r="D46" s="20"/>
      <c r="E46" s="20"/>
      <c r="F46" s="20"/>
      <c r="G46" s="53"/>
    </row>
    <row r="47" spans="1:7" x14ac:dyDescent="0.25">
      <c r="A47" s="7">
        <v>1989</v>
      </c>
      <c r="B47" s="103"/>
      <c r="C47" s="70">
        <f t="shared" si="0"/>
        <v>0</v>
      </c>
      <c r="D47" s="20"/>
      <c r="E47" s="20"/>
      <c r="F47" s="20"/>
      <c r="G47" s="53"/>
    </row>
    <row r="48" spans="1:7" x14ac:dyDescent="0.25">
      <c r="A48" s="7">
        <v>1990</v>
      </c>
      <c r="B48" s="103"/>
      <c r="C48" s="70">
        <f t="shared" si="0"/>
        <v>0</v>
      </c>
      <c r="D48" s="20"/>
      <c r="E48" s="20"/>
      <c r="F48" s="20"/>
      <c r="G48" s="53"/>
    </row>
    <row r="49" spans="1:7" x14ac:dyDescent="0.25">
      <c r="A49" s="7">
        <v>1991</v>
      </c>
      <c r="B49" s="103"/>
      <c r="C49" s="70">
        <f t="shared" si="0"/>
        <v>0</v>
      </c>
      <c r="D49" s="20"/>
      <c r="E49" s="20"/>
      <c r="F49" s="20"/>
      <c r="G49" s="53"/>
    </row>
    <row r="50" spans="1:7" x14ac:dyDescent="0.25">
      <c r="A50" s="7">
        <v>1992</v>
      </c>
      <c r="B50" s="103"/>
      <c r="C50" s="70">
        <f t="shared" ref="C50:C81" si="1">B50*MCF*DOC*DOCF*F*(16/12)*(EXP(-k*($A$84-A50-1))-EXP(-k*($A$84-A50)))</f>
        <v>0</v>
      </c>
      <c r="D50" s="20"/>
      <c r="E50" s="20"/>
      <c r="F50" s="20"/>
      <c r="G50" s="53"/>
    </row>
    <row r="51" spans="1:7" x14ac:dyDescent="0.25">
      <c r="A51" s="7">
        <v>1993</v>
      </c>
      <c r="B51" s="103"/>
      <c r="C51" s="70">
        <f t="shared" si="1"/>
        <v>0</v>
      </c>
      <c r="D51" s="20"/>
      <c r="E51" s="20"/>
      <c r="F51" s="20"/>
      <c r="G51" s="53"/>
    </row>
    <row r="52" spans="1:7" x14ac:dyDescent="0.25">
      <c r="A52" s="7">
        <v>1994</v>
      </c>
      <c r="B52" s="103"/>
      <c r="C52" s="70">
        <f t="shared" si="1"/>
        <v>0</v>
      </c>
      <c r="D52" s="20"/>
      <c r="E52" s="20"/>
      <c r="F52" s="20"/>
      <c r="G52" s="53"/>
    </row>
    <row r="53" spans="1:7" x14ac:dyDescent="0.25">
      <c r="A53" s="7">
        <v>1995</v>
      </c>
      <c r="B53" s="103"/>
      <c r="C53" s="70">
        <f t="shared" si="1"/>
        <v>0</v>
      </c>
      <c r="D53" s="20"/>
      <c r="E53" s="20"/>
      <c r="F53" s="20"/>
      <c r="G53" s="53"/>
    </row>
    <row r="54" spans="1:7" x14ac:dyDescent="0.25">
      <c r="A54" s="7">
        <v>1996</v>
      </c>
      <c r="B54" s="103"/>
      <c r="C54" s="70">
        <f t="shared" si="1"/>
        <v>0</v>
      </c>
      <c r="D54" s="20"/>
      <c r="E54" s="20"/>
      <c r="F54" s="20"/>
      <c r="G54" s="53"/>
    </row>
    <row r="55" spans="1:7" x14ac:dyDescent="0.25">
      <c r="A55" s="7">
        <v>1997</v>
      </c>
      <c r="B55" s="103"/>
      <c r="C55" s="70">
        <f t="shared" si="1"/>
        <v>0</v>
      </c>
      <c r="D55" s="20"/>
      <c r="E55" s="20"/>
      <c r="F55" s="20"/>
      <c r="G55" s="53"/>
    </row>
    <row r="56" spans="1:7" x14ac:dyDescent="0.25">
      <c r="A56" s="7">
        <v>1998</v>
      </c>
      <c r="B56" s="103"/>
      <c r="C56" s="70">
        <f t="shared" si="1"/>
        <v>0</v>
      </c>
      <c r="D56" s="20"/>
      <c r="E56" s="20"/>
      <c r="F56" s="20"/>
      <c r="G56" s="53"/>
    </row>
    <row r="57" spans="1:7" x14ac:dyDescent="0.25">
      <c r="A57" s="7">
        <v>1999</v>
      </c>
      <c r="B57" s="103"/>
      <c r="C57" s="70">
        <f t="shared" si="1"/>
        <v>0</v>
      </c>
      <c r="D57" s="20"/>
      <c r="E57" s="20"/>
      <c r="F57" s="20"/>
      <c r="G57" s="53"/>
    </row>
    <row r="58" spans="1:7" x14ac:dyDescent="0.25">
      <c r="A58" s="7">
        <v>2000</v>
      </c>
      <c r="B58" s="103"/>
      <c r="C58" s="70">
        <f t="shared" si="1"/>
        <v>0</v>
      </c>
      <c r="D58" s="20"/>
      <c r="E58" s="20"/>
      <c r="F58" s="20"/>
      <c r="G58" s="53"/>
    </row>
    <row r="59" spans="1:7" x14ac:dyDescent="0.25">
      <c r="A59" s="7">
        <v>2001</v>
      </c>
      <c r="B59" s="103"/>
      <c r="C59" s="70">
        <f t="shared" si="1"/>
        <v>0</v>
      </c>
      <c r="D59" s="20"/>
      <c r="E59" s="20"/>
      <c r="F59" s="20"/>
      <c r="G59" s="53"/>
    </row>
    <row r="60" spans="1:7" x14ac:dyDescent="0.25">
      <c r="A60" s="7">
        <v>2002</v>
      </c>
      <c r="B60" s="103"/>
      <c r="C60" s="70">
        <f t="shared" si="1"/>
        <v>0</v>
      </c>
      <c r="D60" s="20"/>
      <c r="E60" s="20"/>
      <c r="F60" s="20"/>
      <c r="G60" s="53"/>
    </row>
    <row r="61" spans="1:7" x14ac:dyDescent="0.25">
      <c r="A61" s="7">
        <v>2003</v>
      </c>
      <c r="B61" s="103"/>
      <c r="C61" s="70">
        <f t="shared" si="1"/>
        <v>0</v>
      </c>
      <c r="D61" s="20"/>
      <c r="E61" s="20"/>
      <c r="F61" s="20"/>
      <c r="G61" s="53"/>
    </row>
    <row r="62" spans="1:7" x14ac:dyDescent="0.25">
      <c r="A62" s="7">
        <v>2004</v>
      </c>
      <c r="B62" s="103"/>
      <c r="C62" s="70">
        <f t="shared" si="1"/>
        <v>0</v>
      </c>
      <c r="D62" s="20"/>
      <c r="E62" s="20"/>
      <c r="F62" s="20"/>
      <c r="G62" s="53"/>
    </row>
    <row r="63" spans="1:7" x14ac:dyDescent="0.25">
      <c r="A63" s="7">
        <v>2005</v>
      </c>
      <c r="B63" s="103"/>
      <c r="C63" s="70">
        <f t="shared" si="1"/>
        <v>0</v>
      </c>
      <c r="D63" s="20"/>
      <c r="E63" s="20"/>
      <c r="F63" s="20"/>
      <c r="G63" s="53"/>
    </row>
    <row r="64" spans="1:7" x14ac:dyDescent="0.25">
      <c r="A64" s="7">
        <v>2006</v>
      </c>
      <c r="B64" s="103"/>
      <c r="C64" s="70">
        <f t="shared" si="1"/>
        <v>0</v>
      </c>
      <c r="D64" s="20"/>
      <c r="E64" s="20"/>
      <c r="F64" s="20"/>
      <c r="G64" s="53"/>
    </row>
    <row r="65" spans="1:7" x14ac:dyDescent="0.25">
      <c r="A65" s="7">
        <v>2007</v>
      </c>
      <c r="B65" s="103"/>
      <c r="C65" s="70">
        <f t="shared" si="1"/>
        <v>0</v>
      </c>
      <c r="D65" s="20"/>
      <c r="E65" s="20"/>
      <c r="F65" s="20"/>
      <c r="G65" s="53"/>
    </row>
    <row r="66" spans="1:7" x14ac:dyDescent="0.25">
      <c r="A66" s="7">
        <v>2008</v>
      </c>
      <c r="B66" s="103"/>
      <c r="C66" s="70">
        <f t="shared" si="1"/>
        <v>0</v>
      </c>
      <c r="D66" s="20"/>
      <c r="E66" s="20"/>
      <c r="F66" s="20"/>
      <c r="G66" s="53"/>
    </row>
    <row r="67" spans="1:7" x14ac:dyDescent="0.25">
      <c r="A67" s="7">
        <v>2009</v>
      </c>
      <c r="B67" s="103"/>
      <c r="C67" s="70">
        <f t="shared" si="1"/>
        <v>0</v>
      </c>
      <c r="D67" s="20"/>
      <c r="E67" s="20"/>
      <c r="F67" s="20"/>
      <c r="G67" s="53"/>
    </row>
    <row r="68" spans="1:7" x14ac:dyDescent="0.25">
      <c r="A68" s="7">
        <v>2010</v>
      </c>
      <c r="B68" s="103"/>
      <c r="C68" s="70">
        <f t="shared" si="1"/>
        <v>0</v>
      </c>
      <c r="D68" s="20"/>
      <c r="E68" s="20"/>
      <c r="F68" s="20"/>
      <c r="G68" s="53"/>
    </row>
    <row r="69" spans="1:7" x14ac:dyDescent="0.25">
      <c r="A69" s="7">
        <v>2011</v>
      </c>
      <c r="B69" s="103"/>
      <c r="C69" s="70">
        <f t="shared" si="1"/>
        <v>0</v>
      </c>
      <c r="D69" s="20"/>
      <c r="E69" s="20"/>
      <c r="F69" s="20"/>
      <c r="G69" s="53"/>
    </row>
    <row r="70" spans="1:7" x14ac:dyDescent="0.25">
      <c r="A70" s="7">
        <v>2012</v>
      </c>
      <c r="B70" s="103"/>
      <c r="C70" s="70">
        <f t="shared" si="1"/>
        <v>0</v>
      </c>
      <c r="D70" s="20"/>
      <c r="E70" s="20"/>
      <c r="F70" s="20"/>
      <c r="G70" s="53"/>
    </row>
    <row r="71" spans="1:7" x14ac:dyDescent="0.25">
      <c r="A71" s="7">
        <v>2013</v>
      </c>
      <c r="B71" s="103"/>
      <c r="C71" s="70">
        <f t="shared" si="1"/>
        <v>0</v>
      </c>
      <c r="D71" s="20"/>
      <c r="E71" s="20"/>
      <c r="F71" s="20"/>
      <c r="G71" s="53"/>
    </row>
    <row r="72" spans="1:7" x14ac:dyDescent="0.25">
      <c r="A72" s="7">
        <v>2014</v>
      </c>
      <c r="B72" s="103"/>
      <c r="C72" s="70">
        <f t="shared" si="1"/>
        <v>0</v>
      </c>
      <c r="D72" s="20"/>
      <c r="E72" s="20"/>
      <c r="F72" s="20"/>
      <c r="G72" s="53"/>
    </row>
    <row r="73" spans="1:7" x14ac:dyDescent="0.25">
      <c r="A73" s="7">
        <v>2015</v>
      </c>
      <c r="B73" s="103"/>
      <c r="C73" s="70">
        <f t="shared" si="1"/>
        <v>0</v>
      </c>
      <c r="D73" s="20"/>
      <c r="E73" s="20"/>
      <c r="F73" s="20"/>
      <c r="G73" s="53"/>
    </row>
    <row r="74" spans="1:7" x14ac:dyDescent="0.25">
      <c r="A74" s="7">
        <v>2016</v>
      </c>
      <c r="B74" s="103"/>
      <c r="C74" s="70">
        <f t="shared" si="1"/>
        <v>0</v>
      </c>
      <c r="D74" s="20"/>
      <c r="E74" s="20"/>
      <c r="F74" s="20"/>
      <c r="G74" s="53"/>
    </row>
    <row r="75" spans="1:7" x14ac:dyDescent="0.25">
      <c r="A75" s="7">
        <v>2017</v>
      </c>
      <c r="B75" s="103"/>
      <c r="C75" s="70">
        <f t="shared" si="1"/>
        <v>0</v>
      </c>
      <c r="D75" s="20"/>
      <c r="E75" s="20"/>
      <c r="F75" s="20"/>
      <c r="G75" s="53"/>
    </row>
    <row r="76" spans="1:7" x14ac:dyDescent="0.25">
      <c r="A76" s="7">
        <v>2018</v>
      </c>
      <c r="B76" s="103"/>
      <c r="C76" s="70">
        <f t="shared" si="1"/>
        <v>0</v>
      </c>
      <c r="D76" s="20"/>
      <c r="E76" s="20"/>
      <c r="F76" s="20"/>
      <c r="G76" s="53"/>
    </row>
    <row r="77" spans="1:7" x14ac:dyDescent="0.25">
      <c r="A77" s="7">
        <v>2019</v>
      </c>
      <c r="B77" s="103"/>
      <c r="C77" s="70">
        <f t="shared" si="1"/>
        <v>0</v>
      </c>
      <c r="D77" s="20"/>
      <c r="E77" s="20"/>
      <c r="F77" s="20"/>
      <c r="G77" s="53"/>
    </row>
    <row r="78" spans="1:7" x14ac:dyDescent="0.25">
      <c r="A78" s="7">
        <v>2020</v>
      </c>
      <c r="B78" s="103"/>
      <c r="C78" s="70">
        <f t="shared" si="1"/>
        <v>0</v>
      </c>
      <c r="D78" s="20"/>
      <c r="E78" s="20"/>
      <c r="F78" s="20"/>
      <c r="G78" s="53"/>
    </row>
    <row r="79" spans="1:7" x14ac:dyDescent="0.25">
      <c r="A79" s="7">
        <v>2021</v>
      </c>
      <c r="B79" s="103"/>
      <c r="C79" s="70">
        <f t="shared" si="1"/>
        <v>0</v>
      </c>
      <c r="D79" s="20"/>
      <c r="E79" s="20"/>
      <c r="F79" s="20"/>
      <c r="G79" s="53"/>
    </row>
    <row r="80" spans="1:7" x14ac:dyDescent="0.25">
      <c r="A80" s="7">
        <v>2022</v>
      </c>
      <c r="B80" s="103"/>
      <c r="C80" s="70">
        <f t="shared" si="1"/>
        <v>0</v>
      </c>
      <c r="D80" s="20"/>
      <c r="E80" s="20"/>
      <c r="F80" s="20"/>
      <c r="G80" s="53"/>
    </row>
    <row r="81" spans="1:7" x14ac:dyDescent="0.25">
      <c r="A81" s="7">
        <v>2023</v>
      </c>
      <c r="B81" s="103"/>
      <c r="C81" s="70">
        <f t="shared" si="1"/>
        <v>0</v>
      </c>
      <c r="D81" s="20"/>
      <c r="E81" s="20"/>
      <c r="F81" s="20"/>
      <c r="G81" s="53"/>
    </row>
    <row r="82" spans="1:7" x14ac:dyDescent="0.25">
      <c r="A82" s="7">
        <v>2024</v>
      </c>
      <c r="B82" s="103"/>
      <c r="C82" s="70">
        <f t="shared" ref="C82:C84" si="2">B82*MCF*DOC*DOCF*F*(16/12)*(EXP(-k*($A$84-A82-1))-EXP(-k*($A$84-A82)))</f>
        <v>0</v>
      </c>
      <c r="D82" s="20"/>
      <c r="E82" s="20"/>
      <c r="F82" s="20"/>
      <c r="G82" s="53"/>
    </row>
    <row r="83" spans="1:7" x14ac:dyDescent="0.25">
      <c r="A83" s="7">
        <v>2025</v>
      </c>
      <c r="B83" s="103"/>
      <c r="C83" s="70">
        <f t="shared" si="2"/>
        <v>0</v>
      </c>
      <c r="D83" s="20"/>
      <c r="E83" s="20"/>
      <c r="F83" s="20"/>
      <c r="G83" s="53"/>
    </row>
    <row r="84" spans="1:7" x14ac:dyDescent="0.25">
      <c r="A84" s="64">
        <v>2026</v>
      </c>
      <c r="B84" s="104"/>
      <c r="C84" s="73">
        <f t="shared" si="2"/>
        <v>0</v>
      </c>
      <c r="D84" s="20"/>
      <c r="E84" s="20"/>
      <c r="F84" s="20"/>
      <c r="G84" s="53"/>
    </row>
    <row r="85" spans="1:7" x14ac:dyDescent="0.25">
      <c r="A85" s="1"/>
      <c r="B85" s="60" t="s">
        <v>89</v>
      </c>
      <c r="C85" s="60">
        <f>SUM(C18:C84)</f>
        <v>0</v>
      </c>
      <c r="D85" s="139" t="s">
        <v>95</v>
      </c>
      <c r="E85" s="139"/>
      <c r="F85" s="139"/>
      <c r="G85" s="53"/>
    </row>
    <row r="86" spans="1:7" x14ac:dyDescent="0.25">
      <c r="A86" s="74"/>
      <c r="B86" s="75" t="s">
        <v>96</v>
      </c>
      <c r="C86" s="105"/>
      <c r="D86" s="75"/>
      <c r="E86" s="75"/>
      <c r="F86" s="75"/>
      <c r="G86" s="76"/>
    </row>
    <row r="87" spans="1:7" x14ac:dyDescent="0.25">
      <c r="A87" s="74"/>
      <c r="B87" s="60" t="s">
        <v>97</v>
      </c>
      <c r="C87" s="60" t="e">
        <f>VLOOKUP(C86,Table4[#All],3,FALSE)</f>
        <v>#N/A</v>
      </c>
      <c r="D87" s="60"/>
      <c r="E87" s="60"/>
      <c r="F87" s="60"/>
      <c r="G87" s="76"/>
    </row>
    <row r="88" spans="1:7" x14ac:dyDescent="0.25">
      <c r="A88" s="1"/>
      <c r="B88" s="60" t="s">
        <v>98</v>
      </c>
      <c r="C88" s="60" t="e">
        <f>C85*(1-C87)</f>
        <v>#N/A</v>
      </c>
      <c r="D88" s="139" t="s">
        <v>99</v>
      </c>
      <c r="E88" s="139"/>
      <c r="F88" s="139"/>
      <c r="G88" s="53"/>
    </row>
    <row r="89" spans="1:7" x14ac:dyDescent="0.25">
      <c r="A89" s="1"/>
      <c r="B89" s="75" t="s">
        <v>100</v>
      </c>
      <c r="C89" s="106"/>
      <c r="D89" s="140" t="s">
        <v>101</v>
      </c>
      <c r="E89" s="140"/>
      <c r="F89" s="140"/>
      <c r="G89" s="53"/>
    </row>
    <row r="90" spans="1:7" x14ac:dyDescent="0.25">
      <c r="A90" s="1"/>
      <c r="B90" s="60" t="s">
        <v>102</v>
      </c>
      <c r="C90" s="60" t="e">
        <f>(C88-C89)*84</f>
        <v>#N/A</v>
      </c>
      <c r="D90" s="139" t="s">
        <v>103</v>
      </c>
      <c r="E90" s="139"/>
      <c r="F90" s="139"/>
      <c r="G90" s="53"/>
    </row>
    <row r="91" spans="1:7" ht="15.75" thickBot="1" x14ac:dyDescent="0.3">
      <c r="A91" s="122" t="s">
        <v>104</v>
      </c>
      <c r="B91" s="123"/>
      <c r="C91" s="123"/>
      <c r="D91" s="123"/>
      <c r="E91" s="123"/>
      <c r="F91" s="123"/>
      <c r="G91" s="124"/>
    </row>
  </sheetData>
  <sheetProtection algorithmName="SHA-512" hashValue="JD0eCldHTWBsVfvHlCS7MXJLUrXMUJ/vSWe3xZOAf6FjcrBINgrTO6HoOID2SRNuhDAXVRZXK5tpKmovh2uwGQ==" saltValue="rGusx7ZAkvuBlml9bjHyJA==" spinCount="100000" sheet="1" objects="1" scenarios="1"/>
  <mergeCells count="13">
    <mergeCell ref="A91:G91"/>
    <mergeCell ref="A3:G3"/>
    <mergeCell ref="A4:G4"/>
    <mergeCell ref="A1:G1"/>
    <mergeCell ref="A7:G7"/>
    <mergeCell ref="A8:G8"/>
    <mergeCell ref="A9:F9"/>
    <mergeCell ref="D85:F85"/>
    <mergeCell ref="D88:F88"/>
    <mergeCell ref="D89:F89"/>
    <mergeCell ref="D90:F90"/>
    <mergeCell ref="A11:F11"/>
    <mergeCell ref="A15:G15"/>
  </mergeCells>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AF12C118-D2AA-4D4E-9AC4-358D4C99ABFD}">
          <x14:formula1>
            <xm:f>'Landfill Cover Types'!$A$2:$A$7</xm:f>
          </x14:formula1>
          <xm:sqref>C86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A75B-2C1C-445E-9EB1-E0DF0F55843C}">
  <dimension ref="A1:C7"/>
  <sheetViews>
    <sheetView workbookViewId="0">
      <pane ySplit="1" topLeftCell="A2" activePane="bottomLeft" state="frozen"/>
      <selection pane="bottomLeft" activeCell="F3" sqref="F3"/>
    </sheetView>
  </sheetViews>
  <sheetFormatPr defaultRowHeight="15" x14ac:dyDescent="0.25"/>
  <cols>
    <col min="1" max="1" width="14.7109375" style="19" customWidth="1"/>
    <col min="2" max="2" width="62.7109375" customWidth="1"/>
  </cols>
  <sheetData>
    <row r="1" spans="1:3" x14ac:dyDescent="0.25">
      <c r="A1" s="19" t="s">
        <v>105</v>
      </c>
      <c r="B1" s="19" t="s">
        <v>106</v>
      </c>
      <c r="C1" t="s">
        <v>107</v>
      </c>
    </row>
    <row r="2" spans="1:3" ht="64.5" customHeight="1" x14ac:dyDescent="0.25">
      <c r="A2" t="s">
        <v>108</v>
      </c>
      <c r="B2" s="19" t="s">
        <v>109</v>
      </c>
      <c r="C2">
        <v>0</v>
      </c>
    </row>
    <row r="3" spans="1:3" ht="36.75" customHeight="1" x14ac:dyDescent="0.25">
      <c r="A3" t="s">
        <v>110</v>
      </c>
      <c r="B3" s="19" t="s">
        <v>111</v>
      </c>
      <c r="C3">
        <v>0.1</v>
      </c>
    </row>
    <row r="4" spans="1:3" ht="53.25" customHeight="1" x14ac:dyDescent="0.25">
      <c r="A4" t="s">
        <v>112</v>
      </c>
      <c r="B4" s="19" t="s">
        <v>113</v>
      </c>
      <c r="C4">
        <v>0.1</v>
      </c>
    </row>
    <row r="5" spans="1:3" ht="60.75" customHeight="1" x14ac:dyDescent="0.25">
      <c r="A5" t="s">
        <v>114</v>
      </c>
      <c r="B5" s="19" t="s">
        <v>115</v>
      </c>
      <c r="C5">
        <v>0.35</v>
      </c>
    </row>
    <row r="6" spans="1:3" ht="65.25" customHeight="1" x14ac:dyDescent="0.25">
      <c r="A6" t="s">
        <v>116</v>
      </c>
      <c r="B6" s="19" t="s">
        <v>117</v>
      </c>
      <c r="C6">
        <v>0.25</v>
      </c>
    </row>
    <row r="7" spans="1:3" ht="68.25" customHeight="1" x14ac:dyDescent="0.25">
      <c r="A7" t="s">
        <v>118</v>
      </c>
      <c r="B7" s="19" t="s">
        <v>119</v>
      </c>
      <c r="C7">
        <v>0.1</v>
      </c>
    </row>
  </sheetData>
  <sheetProtection algorithmName="SHA-512" hashValue="H5HzDGjo5jFyHAQKRlHcQifRBEB0AtGfGe6YaXLVF5DuBL6JJv4xOMVCX6PIvzl0swYnIO03u8LQGXDdqk9nTA==" saltValue="dkkGVlxEDS7U57g8kVLMnA==" spinCount="100000" sheet="1" objects="1" scenarios="1"/>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B987A-6A22-4811-88FC-D32E272661D8}">
  <dimension ref="A1:I36"/>
  <sheetViews>
    <sheetView workbookViewId="0">
      <pane ySplit="1" topLeftCell="A2" activePane="bottomLeft" state="frozen"/>
      <selection pane="bottomLeft" activeCell="L5" sqref="L5"/>
    </sheetView>
  </sheetViews>
  <sheetFormatPr defaultRowHeight="15" x14ac:dyDescent="0.25"/>
  <cols>
    <col min="1" max="1" width="44.85546875" customWidth="1"/>
    <col min="2" max="2" width="17.7109375" customWidth="1"/>
    <col min="3" max="3" width="23.7109375" customWidth="1"/>
    <col min="6" max="6" width="16.7109375" customWidth="1"/>
    <col min="7" max="7" width="11" bestFit="1" customWidth="1"/>
    <col min="9" max="9" width="13.28515625" customWidth="1"/>
  </cols>
  <sheetData>
    <row r="1" spans="1:9" x14ac:dyDescent="0.25">
      <c r="A1" t="s">
        <v>12</v>
      </c>
      <c r="B1" t="s">
        <v>120</v>
      </c>
      <c r="C1" t="s">
        <v>121</v>
      </c>
      <c r="D1" t="s">
        <v>22</v>
      </c>
      <c r="E1" t="s">
        <v>14</v>
      </c>
    </row>
    <row r="2" spans="1:9" x14ac:dyDescent="0.25">
      <c r="A2" t="s">
        <v>122</v>
      </c>
      <c r="B2">
        <v>146.959</v>
      </c>
      <c r="C2">
        <v>105.02</v>
      </c>
      <c r="D2">
        <v>25.09</v>
      </c>
      <c r="E2" t="s">
        <v>123</v>
      </c>
    </row>
    <row r="3" spans="1:9" x14ac:dyDescent="0.25">
      <c r="A3" t="s">
        <v>124</v>
      </c>
      <c r="B3">
        <v>136.54900000000001</v>
      </c>
      <c r="C3">
        <v>94.61</v>
      </c>
      <c r="D3">
        <v>24.93</v>
      </c>
      <c r="E3" t="s">
        <v>123</v>
      </c>
    </row>
    <row r="4" spans="1:9" x14ac:dyDescent="0.25">
      <c r="A4" t="s">
        <v>125</v>
      </c>
      <c r="B4">
        <v>140.43899999999999</v>
      </c>
      <c r="C4">
        <v>98.5</v>
      </c>
      <c r="D4">
        <v>17.25</v>
      </c>
      <c r="E4" t="s">
        <v>123</v>
      </c>
      <c r="I4" t="s">
        <v>126</v>
      </c>
    </row>
    <row r="5" spans="1:9" x14ac:dyDescent="0.25">
      <c r="A5" t="s">
        <v>127</v>
      </c>
      <c r="B5">
        <v>140.989</v>
      </c>
      <c r="C5">
        <v>99.05</v>
      </c>
      <c r="D5">
        <v>14.21</v>
      </c>
      <c r="E5" t="s">
        <v>123</v>
      </c>
      <c r="I5" t="s">
        <v>128</v>
      </c>
    </row>
    <row r="6" spans="1:9" x14ac:dyDescent="0.25">
      <c r="A6" t="s">
        <v>35</v>
      </c>
      <c r="B6">
        <v>156.93899999999999</v>
      </c>
      <c r="C6">
        <v>115</v>
      </c>
      <c r="D6">
        <v>24.8</v>
      </c>
      <c r="E6" t="s">
        <v>123</v>
      </c>
      <c r="I6" t="s">
        <v>129</v>
      </c>
    </row>
    <row r="7" spans="1:9" x14ac:dyDescent="0.25">
      <c r="A7" t="s">
        <v>38</v>
      </c>
      <c r="B7">
        <v>97.197399999999988</v>
      </c>
      <c r="C7">
        <v>73.657399999999996</v>
      </c>
      <c r="D7">
        <v>0.13900000000000001</v>
      </c>
      <c r="E7" t="s">
        <v>130</v>
      </c>
    </row>
    <row r="8" spans="1:9" x14ac:dyDescent="0.25">
      <c r="A8" t="s">
        <v>39</v>
      </c>
      <c r="B8">
        <v>97.907399999999996</v>
      </c>
      <c r="C8">
        <v>74.367399999999989</v>
      </c>
      <c r="D8">
        <v>0.13800000000000001</v>
      </c>
      <c r="E8" t="s">
        <v>130</v>
      </c>
    </row>
    <row r="9" spans="1:9" x14ac:dyDescent="0.25">
      <c r="A9" t="s">
        <v>40</v>
      </c>
      <c r="B9">
        <v>98.987400000000008</v>
      </c>
      <c r="C9">
        <v>75.447400000000002</v>
      </c>
      <c r="D9">
        <v>0.14599999999999999</v>
      </c>
      <c r="E9" t="s">
        <v>130</v>
      </c>
    </row>
    <row r="10" spans="1:9" x14ac:dyDescent="0.25">
      <c r="A10" t="s">
        <v>41</v>
      </c>
      <c r="B10">
        <v>93.800399999999996</v>
      </c>
      <c r="C10">
        <v>75.607399999999998</v>
      </c>
      <c r="D10">
        <v>0.13500000000000001</v>
      </c>
      <c r="E10" t="s">
        <v>130</v>
      </c>
    </row>
    <row r="11" spans="1:9" x14ac:dyDescent="0.25">
      <c r="A11" t="s">
        <v>42</v>
      </c>
      <c r="B11">
        <v>89.861400000000003</v>
      </c>
      <c r="C11">
        <v>63.3874</v>
      </c>
      <c r="D11">
        <v>9.1999999999999998E-2</v>
      </c>
      <c r="E11" t="s">
        <v>130</v>
      </c>
    </row>
    <row r="12" spans="1:9" x14ac:dyDescent="0.25">
      <c r="A12" t="s">
        <v>43</v>
      </c>
      <c r="B12">
        <v>92.831400000000002</v>
      </c>
      <c r="C12">
        <v>66.357399999999998</v>
      </c>
      <c r="D12">
        <v>9.0999999999999998E-2</v>
      </c>
      <c r="E12" t="s">
        <v>130</v>
      </c>
    </row>
    <row r="13" spans="1:9" x14ac:dyDescent="0.25">
      <c r="A13" t="s">
        <v>44</v>
      </c>
      <c r="B13">
        <v>103.92440000000001</v>
      </c>
      <c r="C13">
        <v>63.047400000000003</v>
      </c>
      <c r="D13">
        <v>9.6000000000000002E-2</v>
      </c>
      <c r="E13" t="s">
        <v>130</v>
      </c>
    </row>
    <row r="14" spans="1:9" x14ac:dyDescent="0.25">
      <c r="A14" t="s">
        <v>45</v>
      </c>
      <c r="B14">
        <v>108.71440000000001</v>
      </c>
      <c r="C14">
        <v>67.837400000000002</v>
      </c>
      <c r="D14">
        <v>0.1</v>
      </c>
      <c r="E14" t="s">
        <v>130</v>
      </c>
    </row>
    <row r="15" spans="1:9" x14ac:dyDescent="0.25">
      <c r="A15" t="s">
        <v>46</v>
      </c>
      <c r="B15">
        <v>106.1944</v>
      </c>
      <c r="C15">
        <v>65.317399999999992</v>
      </c>
      <c r="D15">
        <v>9.7000000000000003E-2</v>
      </c>
      <c r="E15" t="s">
        <v>130</v>
      </c>
    </row>
    <row r="16" spans="1:9" x14ac:dyDescent="0.25">
      <c r="A16" t="s">
        <v>47</v>
      </c>
      <c r="B16">
        <v>109.02439999999999</v>
      </c>
      <c r="C16">
        <v>68.14739999999999</v>
      </c>
      <c r="D16">
        <v>0.10299999999999999</v>
      </c>
      <c r="E16" t="s">
        <v>130</v>
      </c>
    </row>
    <row r="17" spans="1:5" x14ac:dyDescent="0.25">
      <c r="A17" t="s">
        <v>48</v>
      </c>
      <c r="B17">
        <v>106.43440000000001</v>
      </c>
      <c r="C17">
        <v>65.557400000000001</v>
      </c>
      <c r="D17">
        <v>0.10100000000000001</v>
      </c>
      <c r="E17" t="s">
        <v>130</v>
      </c>
    </row>
    <row r="18" spans="1:5" x14ac:dyDescent="0.25">
      <c r="A18" t="s">
        <v>49</v>
      </c>
      <c r="B18">
        <v>109.01439999999999</v>
      </c>
      <c r="C18">
        <v>68.1374</v>
      </c>
      <c r="D18">
        <v>0.10299999999999999</v>
      </c>
      <c r="E18" t="s">
        <v>130</v>
      </c>
    </row>
    <row r="19" spans="1:5" x14ac:dyDescent="0.25">
      <c r="A19" t="s">
        <v>50</v>
      </c>
      <c r="B19">
        <v>96.103399999999993</v>
      </c>
      <c r="C19">
        <v>67.237399999999994</v>
      </c>
      <c r="D19">
        <v>0.11</v>
      </c>
      <c r="E19" t="s">
        <v>130</v>
      </c>
    </row>
    <row r="20" spans="1:5" x14ac:dyDescent="0.25">
      <c r="A20" t="s">
        <v>51</v>
      </c>
      <c r="B20">
        <v>99.493399999999994</v>
      </c>
      <c r="C20">
        <v>70.627399999999994</v>
      </c>
      <c r="D20">
        <v>0.125</v>
      </c>
      <c r="E20" t="s">
        <v>130</v>
      </c>
    </row>
    <row r="21" spans="1:5" x14ac:dyDescent="0.25">
      <c r="A21" t="s">
        <v>52</v>
      </c>
      <c r="B21">
        <v>87.850399999999993</v>
      </c>
      <c r="C21">
        <v>69.657399999999996</v>
      </c>
      <c r="D21">
        <v>0.12</v>
      </c>
      <c r="E21" t="s">
        <v>130</v>
      </c>
    </row>
    <row r="22" spans="1:5" x14ac:dyDescent="0.25">
      <c r="A22" t="s">
        <v>53</v>
      </c>
      <c r="B22">
        <v>90.820399999999992</v>
      </c>
      <c r="C22">
        <v>72.627399999999994</v>
      </c>
      <c r="D22">
        <v>0.13500000000000001</v>
      </c>
      <c r="E22" t="s">
        <v>130</v>
      </c>
    </row>
    <row r="23" spans="1:5" x14ac:dyDescent="0.25">
      <c r="A23" t="s">
        <v>54</v>
      </c>
      <c r="B23">
        <v>94.045500000000004</v>
      </c>
      <c r="C23">
        <v>53.168500000000002</v>
      </c>
      <c r="D23">
        <f>1.026*10^-3</f>
        <v>1.026E-3</v>
      </c>
      <c r="E23" t="s">
        <v>131</v>
      </c>
    </row>
    <row r="24" spans="1:5" x14ac:dyDescent="0.25">
      <c r="A24" t="s">
        <v>59</v>
      </c>
      <c r="C24">
        <v>94.445000000000007</v>
      </c>
      <c r="D24">
        <v>9950</v>
      </c>
      <c r="E24" t="s">
        <v>123</v>
      </c>
    </row>
    <row r="25" spans="1:5" x14ac:dyDescent="0.25">
      <c r="A25" t="s">
        <v>60</v>
      </c>
      <c r="C25">
        <v>89.715000000000003</v>
      </c>
      <c r="D25">
        <v>28</v>
      </c>
      <c r="E25" t="s">
        <v>123</v>
      </c>
    </row>
    <row r="26" spans="1:5" x14ac:dyDescent="0.25">
      <c r="A26" t="s">
        <v>61</v>
      </c>
      <c r="C26">
        <v>78.745000000000005</v>
      </c>
      <c r="D26">
        <v>38</v>
      </c>
      <c r="E26" t="s">
        <v>123</v>
      </c>
    </row>
    <row r="27" spans="1:5" x14ac:dyDescent="0.25">
      <c r="A27" t="s">
        <v>63</v>
      </c>
      <c r="C27">
        <v>95.367439999999988</v>
      </c>
      <c r="D27">
        <v>17.48</v>
      </c>
      <c r="E27" t="s">
        <v>123</v>
      </c>
    </row>
    <row r="28" spans="1:5" x14ac:dyDescent="0.25">
      <c r="A28" t="s">
        <v>64</v>
      </c>
      <c r="C28">
        <v>121.91500000000001</v>
      </c>
      <c r="D28">
        <v>8.25</v>
      </c>
      <c r="E28" t="s">
        <v>123</v>
      </c>
    </row>
    <row r="29" spans="1:5" x14ac:dyDescent="0.25">
      <c r="A29" t="s">
        <v>65</v>
      </c>
      <c r="C29">
        <v>115.58500000000001</v>
      </c>
      <c r="D29">
        <v>8</v>
      </c>
      <c r="E29" t="s">
        <v>123</v>
      </c>
    </row>
    <row r="30" spans="1:5" x14ac:dyDescent="0.25">
      <c r="A30" t="s">
        <v>66</v>
      </c>
      <c r="C30">
        <v>109.25500000000001</v>
      </c>
      <c r="D30">
        <v>10.39</v>
      </c>
      <c r="E30" t="s">
        <v>123</v>
      </c>
    </row>
    <row r="31" spans="1:5" x14ac:dyDescent="0.25">
      <c r="A31" s="1" t="s">
        <v>69</v>
      </c>
      <c r="C31">
        <v>52.501829999999998</v>
      </c>
      <c r="D31">
        <f>0.485 * 10^-3</f>
        <v>4.8499999999999997E-4</v>
      </c>
      <c r="E31" t="s">
        <v>131</v>
      </c>
    </row>
    <row r="32" spans="1:5" x14ac:dyDescent="0.25">
      <c r="A32" s="1" t="s">
        <v>70</v>
      </c>
      <c r="C32">
        <v>52.501829999999998</v>
      </c>
      <c r="D32">
        <f>0.655* 10^-3</f>
        <v>6.5500000000000009E-4</v>
      </c>
      <c r="E32" t="s">
        <v>131</v>
      </c>
    </row>
    <row r="33" spans="1:5" x14ac:dyDescent="0.25">
      <c r="A33" s="1" t="s">
        <v>73</v>
      </c>
      <c r="C33">
        <v>68.559349999999995</v>
      </c>
      <c r="D33">
        <v>8.4000000000000005E-2</v>
      </c>
      <c r="E33" t="s">
        <v>130</v>
      </c>
    </row>
    <row r="34" spans="1:5" x14ac:dyDescent="0.25">
      <c r="A34" s="1" t="s">
        <v>74</v>
      </c>
      <c r="C34">
        <v>73.959350000000001</v>
      </c>
      <c r="D34">
        <v>0.128</v>
      </c>
      <c r="E34" t="s">
        <v>130</v>
      </c>
    </row>
    <row r="35" spans="1:5" x14ac:dyDescent="0.25">
      <c r="A35" s="1" t="s">
        <v>75</v>
      </c>
      <c r="C35">
        <v>71.179349999999999</v>
      </c>
      <c r="D35">
        <v>0.125</v>
      </c>
      <c r="E35" t="s">
        <v>130</v>
      </c>
    </row>
    <row r="36" spans="1:5" ht="15.75" thickBot="1" x14ac:dyDescent="0.3">
      <c r="A36" s="2" t="s">
        <v>76</v>
      </c>
      <c r="C36">
        <v>81.669349999999994</v>
      </c>
      <c r="D36" s="3">
        <v>0.12</v>
      </c>
      <c r="E36" t="s">
        <v>130</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27efb73-9b69-44df-a541-35622d1b3aec">
      <Terms xmlns="http://schemas.microsoft.com/office/infopath/2007/PartnerControls"/>
    </lcf76f155ced4ddcb4097134ff3c332f>
    <TaxCatchAll xmlns="a3d202fa-1933-4420-ab07-2ee53e82da18" xsi:nil="true"/>
    <InWorkflow xmlns="d27efb73-9b69-44df-a541-35622d1b3aec">In Workflow</InWorkflow>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F42AAD2AAA4B840A4F4E7FC718F57B8" ma:contentTypeVersion="16" ma:contentTypeDescription="Create a new document." ma:contentTypeScope="" ma:versionID="2fdb5747c825db404d199c4e2cad89a6">
  <xsd:schema xmlns:xsd="http://www.w3.org/2001/XMLSchema" xmlns:xs="http://www.w3.org/2001/XMLSchema" xmlns:p="http://schemas.microsoft.com/office/2006/metadata/properties" xmlns:ns2="d27efb73-9b69-44df-a541-35622d1b3aec" xmlns:ns3="a3d202fa-1933-4420-ab07-2ee53e82da18" targetNamespace="http://schemas.microsoft.com/office/2006/metadata/properties" ma:root="true" ma:fieldsID="8ae47db37957d78e489c7eb68f835ca3" ns2:_="" ns3:_="">
    <xsd:import namespace="d27efb73-9b69-44df-a541-35622d1b3aec"/>
    <xsd:import namespace="a3d202fa-1933-4420-ab07-2ee53e82da1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InWorkflow" minOccurs="0"/>
                <xsd:element ref="ns2:MediaServiceLocation" minOccurs="0"/>
                <xsd:element ref="ns2:MediaServiceObjectDetectorVersions" minOccurs="0"/>
                <xsd:element ref="ns2:MediaLengthInSecond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7efb73-9b69-44df-a541-35622d1b3a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d39e25b7-0a97-41c9-a156-d5f30623568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InWorkflow" ma:index="17" nillable="true" ma:displayName="InWorkflow" ma:default="In Workflow" ma:format="RadioButtons" ma:indexed="true" ma:internalName="InWorkflow">
      <xsd:simpleType>
        <xsd:restriction base="dms:Choice">
          <xsd:enumeration value="Completed"/>
          <xsd:enumeration value="In Workflow"/>
        </xsd:restriction>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3d202fa-1933-4420-ab07-2ee53e82da1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bab6c2b-adfa-4322-af15-bd4b2d671278}" ma:internalName="TaxCatchAll" ma:showField="CatchAllData" ma:web="a3d202fa-1933-4420-ab07-2ee53e82da18">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90369E-51E2-4B04-896C-3975DD9129A9}">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c9e60429-3073-47a3-9bf8-27645aff9dc1"/>
    <ds:schemaRef ds:uri="7d6c6081-b833-415a-8d2d-750b89fe1fe2"/>
    <ds:schemaRef ds:uri="http://www.w3.org/XML/1998/namespace"/>
  </ds:schemaRefs>
</ds:datastoreItem>
</file>

<file path=customXml/itemProps2.xml><?xml version="1.0" encoding="utf-8"?>
<ds:datastoreItem xmlns:ds="http://schemas.openxmlformats.org/officeDocument/2006/customXml" ds:itemID="{DA990974-3454-42BB-B837-4C7359574704}"/>
</file>

<file path=customXml/itemProps3.xml><?xml version="1.0" encoding="utf-8"?>
<ds:datastoreItem xmlns:ds="http://schemas.openxmlformats.org/officeDocument/2006/customXml" ds:itemID="{D793548B-9CF0-481C-8973-A3CAAEFECE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Fuel Combustion Emissions</vt:lpstr>
      <vt:lpstr>Emission Factors</vt:lpstr>
      <vt:lpstr>MSW Landfills</vt:lpstr>
      <vt:lpstr>Landfill Cover Types</vt:lpstr>
      <vt:lpstr>list items (hide)</vt:lpstr>
      <vt:lpstr>DOC</vt:lpstr>
      <vt:lpstr>DOCF</vt:lpstr>
      <vt:lpstr>Emissions_Type</vt:lpstr>
      <vt:lpstr>F</vt:lpstr>
      <vt:lpstr>Fuel_Type</vt:lpstr>
      <vt:lpstr>k</vt:lpstr>
      <vt:lpstr>MCF</vt:lpstr>
      <vt:lpstr>OX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Brinsko, Dan (DEC)</dc:creator>
  <cp:keywords/>
  <dc:description/>
  <cp:lastModifiedBy>Palmer, Donald G (DEC)</cp:lastModifiedBy>
  <cp:revision/>
  <dcterms:created xsi:type="dcterms:W3CDTF">2025-03-11T12:59:34Z</dcterms:created>
  <dcterms:modified xsi:type="dcterms:W3CDTF">2025-03-27T14:00:52Z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0x0101008F42AAD2AAA4B840A4F4E7FC718F57B8</vt:lpwstr>
  </property>
  <property fmtid="{D5CDD505-2E9C-101B-9397-08002B2CF9AE}" pid="3" name="MediaServiceImageTags">
    <vt:lpwstr/>
  </property>
</Properties>
</file>