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DAR\AIR3\APPS1\DAR-Web\!Public Site\Web Content Attachments\"/>
    </mc:Choice>
  </mc:AlternateContent>
  <xr:revisionPtr revIDLastSave="0" documentId="8_{99F3C246-6234-45AC-8ED2-2A6E0791B315}" xr6:coauthVersionLast="47" xr6:coauthVersionMax="47" xr10:uidLastSave="{00000000-0000-0000-0000-000000000000}"/>
  <workbookProtection workbookAlgorithmName="SHA-512" workbookHashValue="m6rlAC4Dz6tKulb6Z3dn3Jaa17oXTdZ+FoNiSp3mlJH37jtxdhBq7P24Jr5bMpxDpt07xq+xClmDTIZCw8B9vw==" workbookSaltValue="OnATX0vzHRiqq3kMnOzT+Q==" workbookSpinCount="100000" lockStructure="1"/>
  <bookViews>
    <workbookView xWindow="-110" yWindow="-110" windowWidth="19420" windowHeight="10420" firstSheet="3" activeTab="6" xr2:uid="{F5530FF7-EB4A-4801-8B30-E310F77E5BA4}"/>
  </bookViews>
  <sheets>
    <sheet name="Table of Contents" sheetId="11" r:id="rId1"/>
    <sheet name="Fuel Combustion Emissions" sheetId="1" r:id="rId2"/>
    <sheet name="MSW Landfills" sheetId="5" r:id="rId3"/>
    <sheet name="Cement Production" sheetId="7" r:id="rId4"/>
    <sheet name="Glass Production" sheetId="8" r:id="rId5"/>
    <sheet name="Electronics Manufacturing" sheetId="9" r:id="rId6"/>
    <sheet name="Emission Factors" sheetId="3" r:id="rId7"/>
    <sheet name="Landfill Cover Types" sheetId="6" r:id="rId8"/>
    <sheet name="Change Log" sheetId="12" r:id="rId9"/>
    <sheet name="F-gas EFs (hide)" sheetId="10" state="hidden" r:id="rId10"/>
    <sheet name="list items (hide)" sheetId="4" state="hidden" r:id="rId11"/>
  </sheets>
  <definedNames>
    <definedName name="_xlnm._FilterDatabase" localSheetId="1" hidden="1">'Fuel Combustion Emissions'!$I$11:$I$12</definedName>
    <definedName name="DOC">'MSW Landfills'!$F$21</definedName>
    <definedName name="DOCF">'MSW Landfills'!$F$22</definedName>
    <definedName name="Emissions_Type">'list items (hide)'!$I$5:$I$6</definedName>
    <definedName name="F">'MSW Landfills'!$F$23</definedName>
    <definedName name="Fuel_Type">'list items (hide)'!$A$2:$A$36</definedName>
    <definedName name="k">'MSW Landfills'!$F$24</definedName>
    <definedName name="MCF">'MSW Landfills'!$F$20</definedName>
    <definedName name="OX">'MSW Landfills'!$F$25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7" l="1"/>
  <c r="B26" i="7"/>
  <c r="C89" i="5"/>
  <c r="F53" i="9"/>
  <c r="F54" i="9"/>
  <c r="F55" i="9"/>
  <c r="F56" i="9"/>
  <c r="F57" i="9"/>
  <c r="F58" i="9"/>
  <c r="F59" i="9"/>
  <c r="F60" i="9"/>
  <c r="E53" i="9"/>
  <c r="E54" i="9"/>
  <c r="E55" i="9"/>
  <c r="E56" i="9"/>
  <c r="E57" i="9"/>
  <c r="E58" i="9"/>
  <c r="E59" i="9"/>
  <c r="E60" i="9"/>
  <c r="D53" i="9"/>
  <c r="D54" i="9"/>
  <c r="D55" i="9"/>
  <c r="D56" i="9"/>
  <c r="D57" i="9"/>
  <c r="D58" i="9"/>
  <c r="D59" i="9"/>
  <c r="D60" i="9"/>
  <c r="C53" i="9"/>
  <c r="C54" i="9"/>
  <c r="C55" i="9"/>
  <c r="C56" i="9"/>
  <c r="C57" i="9"/>
  <c r="C58" i="9"/>
  <c r="C59" i="9"/>
  <c r="C60" i="9"/>
  <c r="C20" i="1"/>
  <c r="B22" i="8"/>
  <c r="B26" i="8" s="1"/>
  <c r="C41" i="9"/>
  <c r="C42" i="9"/>
  <c r="C43" i="9"/>
  <c r="C44" i="9"/>
  <c r="C45" i="9"/>
  <c r="C31" i="9"/>
  <c r="C32" i="9"/>
  <c r="C33" i="9"/>
  <c r="C18" i="9"/>
  <c r="C17" i="9"/>
  <c r="C19" i="9"/>
  <c r="C20" i="9"/>
  <c r="C21" i="9"/>
  <c r="C22" i="9"/>
  <c r="B41" i="9"/>
  <c r="B42" i="9"/>
  <c r="B43" i="9"/>
  <c r="B44" i="9"/>
  <c r="B45" i="9"/>
  <c r="B31" i="9"/>
  <c r="B32" i="9"/>
  <c r="B33" i="9"/>
  <c r="B17" i="9"/>
  <c r="B18" i="9"/>
  <c r="B19" i="9"/>
  <c r="B20" i="9"/>
  <c r="B21" i="9"/>
  <c r="B22" i="9"/>
  <c r="B28" i="9"/>
  <c r="B50" i="9"/>
  <c r="B38" i="9"/>
  <c r="B14" i="9"/>
  <c r="B28" i="7" l="1"/>
  <c r="D33" i="9"/>
  <c r="G58" i="9"/>
  <c r="G59" i="9"/>
  <c r="G60" i="9"/>
  <c r="G57" i="9"/>
  <c r="G56" i="9"/>
  <c r="G55" i="9"/>
  <c r="G54" i="9"/>
  <c r="G53" i="9"/>
  <c r="D32" i="9"/>
  <c r="D22" i="9"/>
  <c r="D31" i="9"/>
  <c r="D18" i="9"/>
  <c r="D17" i="9"/>
  <c r="D45" i="9"/>
  <c r="D44" i="9"/>
  <c r="D41" i="9"/>
  <c r="D43" i="9"/>
  <c r="D42" i="9"/>
  <c r="D19" i="9"/>
  <c r="D21" i="9"/>
  <c r="D20" i="9"/>
  <c r="E13" i="1"/>
  <c r="D34" i="9" l="1"/>
  <c r="G61" i="9"/>
  <c r="D23" i="9"/>
  <c r="D46" i="9"/>
  <c r="B31" i="7"/>
  <c r="B33" i="7" s="1"/>
  <c r="F18" i="1"/>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H4" i="3"/>
  <c r="H5" i="3"/>
  <c r="H6" i="3"/>
  <c r="H7" i="3"/>
  <c r="H9" i="3"/>
  <c r="H10" i="3"/>
  <c r="H11" i="3"/>
  <c r="H12" i="3"/>
  <c r="H13" i="3"/>
  <c r="H14" i="3"/>
  <c r="H15" i="3"/>
  <c r="H16" i="3"/>
  <c r="H17" i="3"/>
  <c r="H18" i="3"/>
  <c r="H19" i="3"/>
  <c r="H20" i="3"/>
  <c r="H21" i="3"/>
  <c r="H22" i="3"/>
  <c r="H23" i="3"/>
  <c r="H24" i="3"/>
  <c r="H26" i="3"/>
  <c r="H28" i="3"/>
  <c r="H29" i="3"/>
  <c r="H30" i="3"/>
  <c r="H32" i="3"/>
  <c r="H33" i="3"/>
  <c r="H34" i="3"/>
  <c r="H35" i="3"/>
  <c r="H37" i="3"/>
  <c r="H38" i="3"/>
  <c r="H40" i="3"/>
  <c r="H41" i="3"/>
  <c r="H42" i="3"/>
  <c r="H43" i="3"/>
  <c r="H3" i="3"/>
  <c r="G4" i="3"/>
  <c r="G5" i="3"/>
  <c r="G6" i="3"/>
  <c r="G7" i="3"/>
  <c r="G9" i="3"/>
  <c r="G10" i="3"/>
  <c r="G11" i="3"/>
  <c r="G12" i="3"/>
  <c r="G13" i="3"/>
  <c r="G14" i="3"/>
  <c r="G15" i="3"/>
  <c r="G16" i="3"/>
  <c r="G17" i="3"/>
  <c r="G18" i="3"/>
  <c r="G19" i="3"/>
  <c r="G20" i="3"/>
  <c r="G21" i="3"/>
  <c r="G22" i="3"/>
  <c r="G23" i="3"/>
  <c r="G24" i="3"/>
  <c r="G26" i="3"/>
  <c r="G3" i="3"/>
  <c r="F13" i="1"/>
  <c r="C13" i="1"/>
  <c r="C14" i="1"/>
  <c r="C15" i="1"/>
  <c r="C16" i="1"/>
  <c r="C17" i="1"/>
  <c r="C18" i="1"/>
  <c r="C19" i="1"/>
  <c r="C21" i="1"/>
  <c r="C22" i="1"/>
  <c r="C23" i="1"/>
  <c r="C24" i="1"/>
  <c r="C25" i="1"/>
  <c r="C26" i="1"/>
  <c r="C27" i="1"/>
  <c r="C28" i="1"/>
  <c r="C29" i="1"/>
  <c r="C30" i="1"/>
  <c r="C31" i="1"/>
  <c r="C32" i="1"/>
  <c r="C33" i="1"/>
  <c r="C34" i="1"/>
  <c r="C35" i="1"/>
  <c r="C36" i="1"/>
  <c r="C37" i="1"/>
  <c r="C38" i="1"/>
  <c r="C39" i="1"/>
  <c r="C40" i="1"/>
  <c r="C41" i="1"/>
  <c r="C42" i="1"/>
  <c r="C4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D31" i="4"/>
  <c r="D32" i="4"/>
  <c r="D23" i="4"/>
  <c r="B38" i="3"/>
  <c r="B37" i="3"/>
  <c r="B28" i="3"/>
  <c r="B26" i="3"/>
  <c r="B63" i="9" l="1"/>
  <c r="G32" i="1"/>
  <c r="G22" i="1"/>
  <c r="G34" i="1"/>
  <c r="G16" i="1"/>
  <c r="G43" i="1"/>
  <c r="G19" i="1"/>
  <c r="G29" i="1"/>
  <c r="G37" i="1"/>
  <c r="G21" i="1"/>
  <c r="G30" i="1"/>
  <c r="G42" i="1"/>
  <c r="G27" i="1"/>
  <c r="G38" i="1"/>
  <c r="G24" i="1"/>
  <c r="G35" i="1"/>
  <c r="G40" i="1"/>
  <c r="G13" i="1"/>
  <c r="G26" i="1"/>
  <c r="G14" i="1"/>
  <c r="G18" i="1"/>
  <c r="C87" i="5"/>
  <c r="C90" i="5" s="1"/>
  <c r="C92" i="5" s="1"/>
  <c r="G36" i="1"/>
  <c r="G28" i="1"/>
  <c r="G20" i="1"/>
  <c r="G39" i="1"/>
  <c r="G31" i="1"/>
  <c r="G23" i="1"/>
  <c r="G15" i="1"/>
  <c r="G41" i="1"/>
  <c r="G33" i="1"/>
  <c r="G25" i="1"/>
  <c r="G17" i="1"/>
  <c r="G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tc={7634BEDF-536D-45AC-B805-3EFBA5C5D829}</author>
  </authors>
  <commentList>
    <comment ref="A10" authorId="0" shapeId="0" xr:uid="{7634BEDF-536D-45AC-B805-3EFBA5C5D829}">
      <text>
        <t>[Threaded comment]
Your version of Excel allows you to read this threaded comment; however, any edits to it will get removed if the file is opened in a newer version of Excel. Learn more: https://go.microsoft.com/fwlink/?linkid=870924
Comment:
    Something weird is happening in this row.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tc={34BAC463-3E15-477B-9FCD-133CCCD701BD}</author>
    <author>tc={1FCC04D0-CCFC-4B39-BFB6-6E237AA46F8A}</author>
  </authors>
  <commentList>
    <comment ref="A9" authorId="0" shapeId="0" xr:uid="{34BAC463-3E15-477B-9FCD-133CCCD701BD}">
      <text>
        <t xml:space="preserve">[Threaded comment]
Your version of Excel allows you to read this threaded comment; however, any edits to it will get removed if the file is opened in a newer version of Excel. Learn more: https://go.microsoft.com/fwlink/?linkid=870924
Comment:
    Something is wrong with this row.
Reply:
    Looks like it got shrunk somehow. I've expanded it and I'll check and make sure everything is readable before I lock up the sheet. </t>
      </text>
    </comment>
    <comment ref="D91" authorId="1" shapeId="0" xr:uid="{1FCC04D0-CCFC-4B39-BFB6-6E237AA46F8A}">
      <text>
        <t xml:space="preserve">[Threaded comment]
Your version of Excel allows you to read this threaded comment; however, any edits to it will get removed if the file is opened in a newer version of Excel. Learn more: https://go.microsoft.com/fwlink/?linkid=870924
Comment:
    What is GCCS?
Reply:
    Gas collection control system. This should be a known acronym by owners and operators of landfills.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tc={18450828-884A-43BD-AB5D-6B01D65C0BA0}</author>
  </authors>
  <commentList>
    <comment ref="B1" authorId="0" shapeId="0" xr:uid="{18450828-884A-43BD-AB5D-6B01D65C0BA0}">
      <text>
        <t>[Threaded comment]
Your version of Excel allows you to read this threaded comment; however, any edits to it will get removed if the file is opened in a newer version of Excel. Learn more: https://go.microsoft.com/fwlink/?linkid=870924
Comment:
    Spell out HHV either here or somewhere below.</t>
      </text>
    </comment>
  </commentList>
</comments>
</file>

<file path=xl/sharedStrings.xml><?xml version="1.0" encoding="utf-8"?>
<sst xmlns="http://schemas.openxmlformats.org/spreadsheetml/2006/main" count="352" uniqueCount="229">
  <si>
    <t>GHG Emissions Estimator Tool</t>
  </si>
  <si>
    <t>Disclaimer</t>
  </si>
  <si>
    <r>
      <t>Note: The sheets in this workbook are locked to prevent accidental editing of formulas and variables. If you need to make any changes (for example if you do testing to determine the HHV of your fuel and would like to use that value instead of the default) the password is '</t>
    </r>
    <r>
      <rPr>
        <b/>
        <sz val="11"/>
        <color theme="1"/>
        <rFont val="Aptos Narrow"/>
        <family val="2"/>
        <scheme val="minor"/>
      </rPr>
      <t>GHG 2025</t>
    </r>
    <r>
      <rPr>
        <sz val="11"/>
        <color theme="1"/>
        <rFont val="Aptos Narrow"/>
        <family val="2"/>
        <scheme val="minor"/>
      </rPr>
      <t xml:space="preserve">'. </t>
    </r>
  </si>
  <si>
    <t>Emissions Sectors</t>
  </si>
  <si>
    <t>Corresponding section in Mandatory Reporting Rule</t>
  </si>
  <si>
    <t>Fuel Combustion emissions</t>
  </si>
  <si>
    <t>MSW Landfills</t>
  </si>
  <si>
    <t>Cement Production</t>
  </si>
  <si>
    <t xml:space="preserve">Glass Production </t>
  </si>
  <si>
    <t>Electronics Manufacturing</t>
  </si>
  <si>
    <t>Other Resources</t>
  </si>
  <si>
    <t>NYSDEC - Mandatory Greenhouse Gas Reporting Webpage</t>
  </si>
  <si>
    <t>Fuel Combustion Emissions</t>
  </si>
  <si>
    <t>Disclaimer:</t>
  </si>
  <si>
    <t>Instructions:</t>
  </si>
  <si>
    <t xml:space="preserve">1. Enter the fuel type in the first column of the table below. The fuel option should appear in a dropdown menu.  </t>
  </si>
  <si>
    <t>2. Enter the quantity of fuel. Use gallons for liquid fuel, short tons for solid fuel, and scf for gaseous fuel.</t>
  </si>
  <si>
    <t xml:space="preserve">3. In the fuel source enter if the fuel was produced inside of NY. Only select this option if you are sure of the origin of the fuel (ex. Landfills burning landfill gas on site) </t>
  </si>
  <si>
    <t>Fuel Type</t>
  </si>
  <si>
    <t xml:space="preserve">Fuel Qty </t>
  </si>
  <si>
    <t>Units</t>
  </si>
  <si>
    <t>Fuel Source</t>
  </si>
  <si>
    <r>
      <rPr>
        <b/>
        <sz val="11"/>
        <color rgb="FF000000"/>
        <rFont val="Aptos Narrow"/>
        <scheme val="minor"/>
      </rPr>
      <t>EF (KgCO</t>
    </r>
    <r>
      <rPr>
        <vertAlign val="subscript"/>
        <sz val="11"/>
        <color rgb="FF000000"/>
        <rFont val="Aptos Narrow"/>
        <scheme val="minor"/>
      </rPr>
      <t>2</t>
    </r>
    <r>
      <rPr>
        <sz val="11"/>
        <color rgb="FF000000"/>
        <rFont val="Aptos Narrow"/>
        <scheme val="minor"/>
      </rPr>
      <t>e/mmbtu)</t>
    </r>
  </si>
  <si>
    <r>
      <t>Emissions CO</t>
    </r>
    <r>
      <rPr>
        <vertAlign val="subscript"/>
        <sz val="11"/>
        <color rgb="FF000000"/>
        <rFont val="Aptos Narrow"/>
        <family val="2"/>
        <scheme val="minor"/>
      </rPr>
      <t>2</t>
    </r>
    <r>
      <rPr>
        <sz val="11"/>
        <color rgb="FF000000"/>
        <rFont val="Aptos Narrow"/>
        <family val="2"/>
        <scheme val="minor"/>
      </rPr>
      <t>e (Mt)</t>
    </r>
  </si>
  <si>
    <r>
      <t>Total (Mtons CO</t>
    </r>
    <r>
      <rPr>
        <vertAlign val="subscript"/>
        <sz val="11"/>
        <color theme="1"/>
        <rFont val="Aptos Narrow"/>
        <family val="2"/>
        <scheme val="minor"/>
      </rPr>
      <t>2</t>
    </r>
    <r>
      <rPr>
        <sz val="11"/>
        <color theme="1"/>
        <rFont val="Aptos Narrow"/>
        <family val="2"/>
        <scheme val="minor"/>
      </rPr>
      <t>e)</t>
    </r>
  </si>
  <si>
    <t>MSW Landfill Methane Generation Estimator</t>
  </si>
  <si>
    <t>2. This tool is designed only to estimate methane emissions in an MSW landfill based on waste disposal. It does not account for captured emissions that are flared or combusted for energy. Those emissions must be calculated separately (see the fuel combustion emissions sheet).</t>
  </si>
  <si>
    <t xml:space="preserve">1. Enter the quantity of waste disposed based on records. Waste Quantity should be entered in metric tons of wet waste (as received) </t>
  </si>
  <si>
    <t xml:space="preserve">2. Select the type of cover material from the dropdown menu. Descriptions for each cover type can be found in the Landfill Cover Types tab. </t>
  </si>
  <si>
    <r>
      <rPr>
        <b/>
        <sz val="11"/>
        <color theme="1"/>
        <rFont val="Aptos Narrow"/>
        <family val="2"/>
        <scheme val="minor"/>
      </rPr>
      <t>Note:</t>
    </r>
    <r>
      <rPr>
        <sz val="11"/>
        <color theme="1"/>
        <rFont val="Aptos Narrow"/>
        <family val="2"/>
        <scheme val="minor"/>
      </rPr>
      <t xml:space="preserve"> emissions from combustion of landfill gas in onsite engines or offsite landfill gas to energy plants need to be calculated seperately </t>
    </r>
  </si>
  <si>
    <t>If the amount of waste is unknown for a given year use EPA Part 98 equation HH-2 to estimate waste.</t>
  </si>
  <si>
    <r>
      <t>W</t>
    </r>
    <r>
      <rPr>
        <vertAlign val="subscript"/>
        <sz val="11"/>
        <color theme="1"/>
        <rFont val="Aptos Narrow"/>
        <family val="2"/>
        <scheme val="minor"/>
      </rPr>
      <t>X</t>
    </r>
    <r>
      <rPr>
        <sz val="11"/>
        <color theme="1"/>
        <rFont val="Aptos Narrow"/>
        <family val="2"/>
        <scheme val="minor"/>
      </rPr>
      <t xml:space="preserve"> = Quantity of waste placed in the landfill in year x (metric tons, wet basis).</t>
    </r>
  </si>
  <si>
    <r>
      <t>POP</t>
    </r>
    <r>
      <rPr>
        <vertAlign val="subscript"/>
        <sz val="11"/>
        <color theme="1"/>
        <rFont val="Aptos Narrow"/>
        <family val="2"/>
        <scheme val="minor"/>
      </rPr>
      <t>X</t>
    </r>
    <r>
      <rPr>
        <sz val="11"/>
        <color theme="1"/>
        <rFont val="Aptos Narrow"/>
        <family val="2"/>
        <scheme val="minor"/>
      </rPr>
      <t xml:space="preserve"> = Population served by the landfill in year x from city population, census data, or other estimates (capita).</t>
    </r>
  </si>
  <si>
    <t>Year</t>
  </si>
  <si>
    <t>Quantity of waste disposed, wet waste/ as received (Metric Tons)</t>
  </si>
  <si>
    <t>GCH4</t>
  </si>
  <si>
    <t>MCF</t>
  </si>
  <si>
    <t>DOC</t>
  </si>
  <si>
    <t>DOCF</t>
  </si>
  <si>
    <t>F</t>
  </si>
  <si>
    <t>k</t>
  </si>
  <si>
    <t>Mtons CH4 gen</t>
  </si>
  <si>
    <t>select type of landfill cover</t>
  </si>
  <si>
    <t>OX</t>
  </si>
  <si>
    <t>MG</t>
  </si>
  <si>
    <t xml:space="preserve">Mtons CH4 gen with ox </t>
  </si>
  <si>
    <t>CH4 captured</t>
  </si>
  <si>
    <t>Mtons CH4 captured from GCCS</t>
  </si>
  <si>
    <t xml:space="preserve">Mtons CO2e </t>
  </si>
  <si>
    <t xml:space="preserve">Cement Production </t>
  </si>
  <si>
    <r>
      <rPr>
        <sz val="11"/>
        <color rgb="FF000000"/>
        <rFont val="Aptos Narrow"/>
      </rPr>
      <t xml:space="preserve">This tool may be used </t>
    </r>
    <r>
      <rPr>
        <b/>
        <sz val="11"/>
        <color rgb="FF000000"/>
        <rFont val="Aptos Narrow"/>
      </rPr>
      <t xml:space="preserve">for illustrative purposes ONLY and CANNOT </t>
    </r>
    <r>
      <rPr>
        <sz val="11"/>
        <color rgb="FF000000"/>
        <rFont val="Aptos Narrow"/>
      </rPr>
      <t>be used as a final or legally binding determination of an entity's obligation to report under the Mandatory Greenhouse Gas Reporting Rule (6 NYCRR Part 253).</t>
    </r>
  </si>
  <si>
    <t>1. Enter the amount of clinker produced for all kilns in the year</t>
  </si>
  <si>
    <t>2. Enter the average CaO, non-calcined CaO, MgO, non-calcined MgO content of clinker in weight percent</t>
  </si>
  <si>
    <t>3. Enter the amount of kiln dust not recycled</t>
  </si>
  <si>
    <t>4. Enter the average weight percents for the kiln dust</t>
  </si>
  <si>
    <t xml:space="preserve">Notes: This calculator can be used with average values for the whole facility or with kiln specific values to get the emissions from each kiln which may be more accurate than facility averages. </t>
  </si>
  <si>
    <t>total annual production (tons)</t>
  </si>
  <si>
    <t>wt%</t>
  </si>
  <si>
    <t>clinker</t>
  </si>
  <si>
    <t xml:space="preserve">CaO </t>
  </si>
  <si>
    <t xml:space="preserve">non-calcined CaO </t>
  </si>
  <si>
    <t xml:space="preserve">MgO </t>
  </si>
  <si>
    <t xml:space="preserve">non-calcined MgO </t>
  </si>
  <si>
    <t>kiln dust not recycled</t>
  </si>
  <si>
    <t>EF_Cli</t>
  </si>
  <si>
    <t>EF_CKD</t>
  </si>
  <si>
    <t>CO2_cli</t>
  </si>
  <si>
    <t xml:space="preserve">mtons </t>
  </si>
  <si>
    <t>amount of raw material</t>
  </si>
  <si>
    <t>tons (dry basis)</t>
  </si>
  <si>
    <t>CO2_rm</t>
  </si>
  <si>
    <t>Total CO2e</t>
  </si>
  <si>
    <t>mtons CO2e</t>
  </si>
  <si>
    <t>Glass Production</t>
  </si>
  <si>
    <t>1. Input the annual amount of CO based raw material into its respective column.</t>
  </si>
  <si>
    <t>2. The total CO2 process emissions from furnace is displayed below.</t>
  </si>
  <si>
    <t>Material</t>
  </si>
  <si>
    <t>Mass fraction of carbonate based material (default 1.0)</t>
  </si>
  <si>
    <t>Amount of carbonate based raw material (tons)</t>
  </si>
  <si>
    <t>Emission factor for carbonate based raw material</t>
  </si>
  <si>
    <t>Carbonate fraction (default 1.0)</t>
  </si>
  <si>
    <r>
      <t>Limestone - CaCO</t>
    </r>
    <r>
      <rPr>
        <vertAlign val="subscript"/>
        <sz val="11"/>
        <rFont val="Aptos Narrow"/>
        <family val="2"/>
        <scheme val="minor"/>
      </rPr>
      <t>3</t>
    </r>
  </si>
  <si>
    <r>
      <t>Dolomite - CaMg(CO</t>
    </r>
    <r>
      <rPr>
        <vertAlign val="subscript"/>
        <sz val="11"/>
        <rFont val="Aptos Narrow"/>
        <family val="2"/>
        <scheme val="minor"/>
      </rPr>
      <t>3</t>
    </r>
    <r>
      <rPr>
        <sz val="11"/>
        <rFont val="Aptos Narrow"/>
        <family val="2"/>
        <scheme val="minor"/>
      </rPr>
      <t>)</t>
    </r>
    <r>
      <rPr>
        <vertAlign val="subscript"/>
        <sz val="11"/>
        <rFont val="Aptos Narrow"/>
        <family val="2"/>
        <scheme val="minor"/>
      </rPr>
      <t>2</t>
    </r>
  </si>
  <si>
    <r>
      <t>Sodium Carbonate/soda ash - Na</t>
    </r>
    <r>
      <rPr>
        <vertAlign val="subscript"/>
        <sz val="11"/>
        <rFont val="Aptos Narrow"/>
        <family val="2"/>
        <scheme val="minor"/>
      </rPr>
      <t>2</t>
    </r>
    <r>
      <rPr>
        <sz val="11"/>
        <rFont val="Aptos Narrow"/>
        <family val="2"/>
        <scheme val="minor"/>
      </rPr>
      <t>CO</t>
    </r>
    <r>
      <rPr>
        <vertAlign val="subscript"/>
        <sz val="11"/>
        <rFont val="Aptos Narrow"/>
        <family val="2"/>
        <scheme val="minor"/>
      </rPr>
      <t>3</t>
    </r>
  </si>
  <si>
    <r>
      <t>Barium carbonate - BaCO</t>
    </r>
    <r>
      <rPr>
        <vertAlign val="subscript"/>
        <sz val="11"/>
        <rFont val="Aptos Narrow"/>
        <family val="2"/>
        <scheme val="minor"/>
      </rPr>
      <t>3</t>
    </r>
  </si>
  <si>
    <r>
      <t>Potassium carbonate - K</t>
    </r>
    <r>
      <rPr>
        <vertAlign val="subscript"/>
        <sz val="11"/>
        <rFont val="Aptos Narrow"/>
        <family val="2"/>
        <scheme val="minor"/>
      </rPr>
      <t>2</t>
    </r>
    <r>
      <rPr>
        <sz val="11"/>
        <rFont val="Aptos Narrow"/>
        <family val="2"/>
        <scheme val="minor"/>
      </rPr>
      <t>CO</t>
    </r>
    <r>
      <rPr>
        <vertAlign val="subscript"/>
        <sz val="11"/>
        <rFont val="Aptos Narrow"/>
        <family val="2"/>
        <scheme val="minor"/>
      </rPr>
      <t>3</t>
    </r>
  </si>
  <si>
    <r>
      <t>Lithium carbonate - Li</t>
    </r>
    <r>
      <rPr>
        <vertAlign val="subscript"/>
        <sz val="11"/>
        <rFont val="Aptos Narrow"/>
        <family val="2"/>
        <scheme val="minor"/>
      </rPr>
      <t>2</t>
    </r>
    <r>
      <rPr>
        <sz val="11"/>
        <rFont val="Aptos Narrow"/>
        <family val="2"/>
        <scheme val="minor"/>
      </rPr>
      <t>CO</t>
    </r>
    <r>
      <rPr>
        <vertAlign val="subscript"/>
        <sz val="11"/>
        <rFont val="Aptos Narrow"/>
        <family val="2"/>
        <scheme val="minor"/>
      </rPr>
      <t>3</t>
    </r>
  </si>
  <si>
    <r>
      <t>Strontium carbonate - SrCO</t>
    </r>
    <r>
      <rPr>
        <vertAlign val="subscript"/>
        <sz val="11"/>
        <rFont val="Aptos Narrow"/>
        <family val="2"/>
        <scheme val="minor"/>
      </rPr>
      <t>3</t>
    </r>
  </si>
  <si>
    <t>Equation Constants</t>
  </si>
  <si>
    <t>Conversion factor to convert from tons to metric tons</t>
  </si>
  <si>
    <r>
      <t>CO</t>
    </r>
    <r>
      <rPr>
        <vertAlign val="subscript"/>
        <sz val="11"/>
        <color theme="1"/>
        <rFont val="Aptos Narrow"/>
        <family val="2"/>
        <scheme val="minor"/>
      </rPr>
      <t>2</t>
    </r>
    <r>
      <rPr>
        <sz val="11"/>
        <color theme="1"/>
        <rFont val="Aptos Narrow"/>
        <family val="2"/>
        <scheme val="minor"/>
      </rPr>
      <t xml:space="preserve"> Process emissions from furnace (metric tons)</t>
    </r>
  </si>
  <si>
    <r>
      <rPr>
        <sz val="11"/>
        <color rgb="FF000000"/>
        <rFont val="Aptos Narrow"/>
      </rPr>
      <t xml:space="preserve">Note this tool may be used </t>
    </r>
    <r>
      <rPr>
        <b/>
        <sz val="11"/>
        <color rgb="FF000000"/>
        <rFont val="Aptos Narrow"/>
      </rPr>
      <t xml:space="preserve">for illustrative purposes ONLY and CANNOT </t>
    </r>
    <r>
      <rPr>
        <sz val="11"/>
        <color rgb="FF000000"/>
        <rFont val="Aptos Narrow"/>
      </rPr>
      <t>be used as a final or legally binding determination of an entity's obligation to report under the Mandatory Greenhouse Gas Reporting Rule (6 NYCRR Part 253).</t>
    </r>
  </si>
  <si>
    <t>1. Enter the maximum number of substrate starts in a month for each manufacturing process (Semiconductors, MEMS, LCD, and PV)</t>
  </si>
  <si>
    <t>2. For semiconductor, MEMS and LCD manufacturing select the types of gasses used in each process, this will automatically populate the emissions factors and GWP which will be used to calculate the emissions from each gas.</t>
  </si>
  <si>
    <t>3. For PV manufacturing select the type of gas used and enter the amount consumed, this will automatically populate the emissions factors and GWP which will be used to calculate total emissions</t>
  </si>
  <si>
    <t>Semiconductor production</t>
  </si>
  <si>
    <t>max # of substrate starts in a month</t>
  </si>
  <si>
    <t xml:space="preserve">manufacturing capacity </t>
  </si>
  <si>
    <t>F-gas type</t>
  </si>
  <si>
    <t>EF</t>
  </si>
  <si>
    <t>GWP</t>
  </si>
  <si>
    <t>Ei</t>
  </si>
  <si>
    <t>CHF3</t>
  </si>
  <si>
    <t>MEMS production</t>
  </si>
  <si>
    <t>CF4</t>
  </si>
  <si>
    <t>LCD Production</t>
  </si>
  <si>
    <t xml:space="preserve">PV Production </t>
  </si>
  <si>
    <t>Consumption</t>
  </si>
  <si>
    <t>Ui emission factor</t>
  </si>
  <si>
    <t>BCF4</t>
  </si>
  <si>
    <t>BC2F6</t>
  </si>
  <si>
    <t xml:space="preserve">Ei </t>
  </si>
  <si>
    <t>Total CO2e Emissions</t>
  </si>
  <si>
    <t>Fuel type</t>
  </si>
  <si>
    <t>HHV</t>
  </si>
  <si>
    <t>CO2 EF (kgCO2/mmbtu)</t>
  </si>
  <si>
    <t>CH4 EF (gCH4/mmbtu)</t>
  </si>
  <si>
    <t>N2O EF (gN2O/mmbtu)</t>
  </si>
  <si>
    <t>Upstream out of state EF (CO2e)</t>
  </si>
  <si>
    <t>Combined EF (CO2e)</t>
  </si>
  <si>
    <t>Combined EF for NY sourced fuel (CO2e)</t>
  </si>
  <si>
    <t>Coal and Coke</t>
  </si>
  <si>
    <t>mmbtu/short ton*</t>
  </si>
  <si>
    <t>Anthracite</t>
  </si>
  <si>
    <t>Bituminous</t>
  </si>
  <si>
    <t>Subbituminous</t>
  </si>
  <si>
    <t>Lignite</t>
  </si>
  <si>
    <t>Coal Coke</t>
  </si>
  <si>
    <t>Petroleum fuels</t>
  </si>
  <si>
    <t>(mmbtu/gallon)**</t>
  </si>
  <si>
    <t>Distillate Fuel Oil No. 1</t>
  </si>
  <si>
    <t>Distillate Fuel Oil No. 2</t>
  </si>
  <si>
    <t>Distillate Fuel Oil No. 4</t>
  </si>
  <si>
    <t>Kerosene</t>
  </si>
  <si>
    <t>Liquefied petroleum gases (LPG) *** or Propane</t>
  </si>
  <si>
    <t>Propylene</t>
  </si>
  <si>
    <t>Ethane</t>
  </si>
  <si>
    <t>Ethylene</t>
  </si>
  <si>
    <t>Isobutane</t>
  </si>
  <si>
    <t>Isobutylene</t>
  </si>
  <si>
    <t>Butane</t>
  </si>
  <si>
    <t>Butylene</t>
  </si>
  <si>
    <t>Natural Gasoline</t>
  </si>
  <si>
    <t>Motor Gasoline (finished)</t>
  </si>
  <si>
    <t>Aviation Gasoline</t>
  </si>
  <si>
    <t>Kerosene-Type Jet Fuel</t>
  </si>
  <si>
    <t>Natural Gas</t>
  </si>
  <si>
    <t>mmbtu/scf*</t>
  </si>
  <si>
    <t>avg for pipeline NG</t>
  </si>
  <si>
    <t>Other fuels-solid</t>
  </si>
  <si>
    <t>mmBtu/short ton*</t>
  </si>
  <si>
    <t>Municipal Solid Waste</t>
  </si>
  <si>
    <t>Tires</t>
  </si>
  <si>
    <t>Plastics</t>
  </si>
  <si>
    <t>Biomass fuels (solid)</t>
  </si>
  <si>
    <t>wood and wood residuals</t>
  </si>
  <si>
    <t>Agricultural Byproducts</t>
  </si>
  <si>
    <t>Peat</t>
  </si>
  <si>
    <t>Solid byproducts</t>
  </si>
  <si>
    <t>Biomass fuels—gaseous</t>
  </si>
  <si>
    <t>mmBtu/scf*</t>
  </si>
  <si>
    <t>Landfill Gas</t>
  </si>
  <si>
    <t>Other Biomass Gases</t>
  </si>
  <si>
    <t>Biomass Fuels—Liquid</t>
  </si>
  <si>
    <t>mmBtu/gallon*</t>
  </si>
  <si>
    <t>Ethanol</t>
  </si>
  <si>
    <t>Biodiesel (100%)</t>
  </si>
  <si>
    <t>Rendered Animal Fat</t>
  </si>
  <si>
    <t>Vegetable Oil</t>
  </si>
  <si>
    <t>*These default HHV values cannot be used for reporting under 253 only for estimation purposes (taken from Part 98 Table C-1) not included in Part 253</t>
  </si>
  <si>
    <t>black boxed values from Table C1 and C2 in part 98</t>
  </si>
  <si>
    <t>Landfill Cover Types</t>
  </si>
  <si>
    <t>This sheet provides an explanation of the types of landfill cover used in the dropdown menu in the municipal solid waste landfill section</t>
  </si>
  <si>
    <t>return to MSW Landfills</t>
  </si>
  <si>
    <t>cover type abrv</t>
  </si>
  <si>
    <t>Type of landfill cover</t>
  </si>
  <si>
    <t>oxidation factor</t>
  </si>
  <si>
    <t xml:space="preserve">C2 </t>
  </si>
  <si>
    <t>C2: For landfills that have a geomembrane (synthetic) cover or other non-soil barrier meeting the definition of final cover with less than 12 inches of cover soil for greater than 50% of the landfill area containing waste</t>
  </si>
  <si>
    <t>C3</t>
  </si>
  <si>
    <t>C3: For landfills that do not meet the conditions in C2 above and for which you elect not to determine methane flux</t>
  </si>
  <si>
    <t>C4</t>
  </si>
  <si>
    <t>C4: For landfills that do not meet the conditions in C2 or C3 above and that do not have final cover, or intermediate or interim covera for greater than 50% of the landfill area containing waste</t>
  </si>
  <si>
    <t>C5</t>
  </si>
  <si>
    <t>C5: For landfills that do not meet the conditions in C2 or C3 above and that have final cover, or intermediate or interim covera for greater than 50% of the landfill area containing waste and for which the methane flux rateb is less than 10 grams per square meter per day (g/m2/d)</t>
  </si>
  <si>
    <t>C6</t>
  </si>
  <si>
    <t>C6: For landfills that do not meet the conditions in C2 or C3 above and that have final cover or intermediate or interim covera for greater than 50% of the landfill area containing waste and for which the methane flux rateb is 10 to 70 g/m2/d</t>
  </si>
  <si>
    <t>C7</t>
  </si>
  <si>
    <t>C7: For landfills that do not meet the conditions in C2 or C3 above and that have final cover or intermediate or interim covera for greater than 50% of the landfill area containing waste and for which the methane flux rateb is greater than 70 g/m2/d</t>
  </si>
  <si>
    <t xml:space="preserve">Semiconductors </t>
  </si>
  <si>
    <t>LCD</t>
  </si>
  <si>
    <t>MEMS</t>
  </si>
  <si>
    <t>C2F6</t>
  </si>
  <si>
    <t>c-C4F8</t>
  </si>
  <si>
    <t>NF3</t>
  </si>
  <si>
    <t>SF6</t>
  </si>
  <si>
    <t>C3F8</t>
  </si>
  <si>
    <t>N2O</t>
  </si>
  <si>
    <t>Gas</t>
  </si>
  <si>
    <t xml:space="preserve">1-Ui </t>
  </si>
  <si>
    <t>Out of State EF</t>
  </si>
  <si>
    <t>In State EF</t>
  </si>
  <si>
    <t>Anthracite (coal)</t>
  </si>
  <si>
    <t>short tons</t>
  </si>
  <si>
    <t>Bituminous (coal)</t>
  </si>
  <si>
    <t>Subbituminous (coal)</t>
  </si>
  <si>
    <t>Emissions Type</t>
  </si>
  <si>
    <t>Lignite (coal)</t>
  </si>
  <si>
    <t>In State</t>
  </si>
  <si>
    <t>Out of State</t>
  </si>
  <si>
    <t>gallons</t>
  </si>
  <si>
    <t>scf</t>
  </si>
  <si>
    <t>upload date</t>
  </si>
  <si>
    <t>changes made</t>
  </si>
  <si>
    <t>initial upload</t>
  </si>
  <si>
    <t>Change Log</t>
  </si>
  <si>
    <t>A log of the changes made to this sheet can be found here</t>
  </si>
  <si>
    <t>Last Updated: 4/30/25</t>
  </si>
  <si>
    <r>
      <rPr>
        <sz val="11"/>
        <color rgb="FF000000"/>
        <rFont val="Aptos Narrow"/>
      </rPr>
      <t xml:space="preserve">1. Note: This tool may be used </t>
    </r>
    <r>
      <rPr>
        <b/>
        <sz val="11"/>
        <color rgb="FF000000"/>
        <rFont val="Aptos Narrow"/>
      </rPr>
      <t xml:space="preserve">for illustrative purposes ONLY and CANNOT </t>
    </r>
    <r>
      <rPr>
        <sz val="11"/>
        <color rgb="FF000000"/>
        <rFont val="Aptos Narrow"/>
      </rPr>
      <t>be used as a final or legally binding determination of an entity's obligation to report under the Mandatory Greenhouse Gas Reporting Rule (6 NYCRR Part 253).</t>
    </r>
  </si>
  <si>
    <t>2. Owners and operators of facilities within New York State will be required to report their emissions under the proposed Mandatory Greenhouse Gas Reporting Rule if they emit more than 10,000 metric tons of CO2e/year or if they are an electricity generating facility with budget units under the RGGI program (Part 242). Note that there are other emissions source categories that are proposed to be required to report under the Mandatory Greenhouse Gas Reporting Rule that are not included in this tool. For more information about the proposed thresholds of the categories not included in this tool, please refer to the Mandatory Reporting Rule Fact Sheet located on the NYS DEC Mandatory Greenhouse Gas Reporting Rule website, which is linked at the bottom of this page.</t>
  </si>
  <si>
    <t>2. Note: This estimation tool only estimates GHG emissions from fuel combustion activites and GHG emissions from upstream out-of-state. This does inlcude GHG emissions from processes, but Reporting Entities will be required to report process emissions.</t>
  </si>
  <si>
    <t>This GHG Emisssions Estimator Tool and other information can be obtained by clicking this link.</t>
  </si>
  <si>
    <t>WDRX = Average per capita waste disposal rate for year x from Table HH-2 of Part 98 (metric tons per capita per year, wet basis; tons/cap/yr).</t>
  </si>
  <si>
    <t>▪ Corrected emission factor for natural gasoline 
▪ Added new emissions sectors (cement production, glass production and electronics manufacturing)
▪ Added Table of contents for easier navigation
▪ Inserted hyperlinks between MSW landfills and landfill cover type sheets</t>
  </si>
  <si>
    <t xml:space="preserve">3. Enter the amount of CH4 collected in any gas collection systems. This should be entered as the mass of CH4 only. </t>
  </si>
  <si>
    <t>High Heat Value (HHV)</t>
  </si>
  <si>
    <t>total emissions</t>
  </si>
  <si>
    <t xml:space="preserve">Instructions: </t>
  </si>
  <si>
    <t>High Heat Value (mmbtu/fuel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</si>
</sst>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2205"/>
    <numFmt numFmtId="165" formatCode="0.000"/>
    <numFmt numFmtId="166" formatCode="0.0"/>
    <numFmt numFmtId="167" formatCode="_(* #,##0.0000_);_(* \(#,##0.0000\);_(* &quot;-&quot;??_);_(@_)"/>
  </numFmts>
  <fonts count="38" x14ac:knownFonts="1">
    <font>
      <sz val="11"/>
      <color theme="1"/>
      <name val="Aptos Narrow"/>
      <family val="2"/>
      <scheme val="minor"/>
    </font>
    <font>
      <b/>
      <sz val="14"/>
      <color theme="1"/>
      <name val="Aptos Narrow"/>
      <family val="2"/>
      <scheme val="minor"/>
    </font>
    <font>
      <b/>
      <sz val="14"/>
      <color theme="9" tint="-0.499984740745262"/>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font>
    <font>
      <b/>
      <sz val="20"/>
      <color theme="0"/>
      <name val="Aptos Narrow"/>
      <family val="2"/>
      <scheme val="minor"/>
    </font>
    <font>
      <sz val="20"/>
      <color theme="0"/>
      <name val="Aptos Narrow"/>
      <family val="2"/>
      <scheme val="minor"/>
    </font>
    <font>
      <b/>
      <sz val="11"/>
      <color theme="0"/>
      <name val="Aptos Narrow"/>
      <family val="2"/>
      <scheme val="minor"/>
    </font>
    <font>
      <sz val="11"/>
      <color rgb="FF000000"/>
      <name val="Aptos Narrow"/>
      <family val="2"/>
      <scheme val="minor"/>
    </font>
    <font>
      <vertAlign val="subscript"/>
      <sz val="11"/>
      <color theme="1"/>
      <name val="Aptos Narrow"/>
      <family val="2"/>
      <scheme val="minor"/>
    </font>
    <font>
      <vertAlign val="subscript"/>
      <sz val="11"/>
      <color rgb="FF000000"/>
      <name val="Aptos Narrow"/>
      <family val="2"/>
      <scheme val="minor"/>
    </font>
    <font>
      <sz val="11"/>
      <color theme="1"/>
      <name val="Aptos Narrow"/>
      <scheme val="minor"/>
    </font>
    <font>
      <b/>
      <sz val="11"/>
      <color rgb="FF000000"/>
      <name val="Aptos Narrow"/>
      <scheme val="minor"/>
    </font>
    <font>
      <vertAlign val="subscript"/>
      <sz val="11"/>
      <color rgb="FF000000"/>
      <name val="Aptos Narrow"/>
      <scheme val="minor"/>
    </font>
    <font>
      <sz val="11"/>
      <color rgb="FF000000"/>
      <name val="Aptos Narrow"/>
      <scheme val="minor"/>
    </font>
    <font>
      <u/>
      <sz val="11"/>
      <color theme="10"/>
      <name val="Aptos Narrow"/>
      <family val="2"/>
      <scheme val="minor"/>
    </font>
    <font>
      <sz val="11"/>
      <color theme="1"/>
      <name val="Aptos Narrow"/>
      <family val="2"/>
      <scheme val="minor"/>
    </font>
    <font>
      <sz val="18"/>
      <color theme="1"/>
      <name val="Aptos Narrow"/>
      <family val="2"/>
      <scheme val="minor"/>
    </font>
    <font>
      <sz val="8"/>
      <color rgb="FF212121"/>
      <name val="Arial"/>
      <family val="2"/>
    </font>
    <font>
      <sz val="10"/>
      <color rgb="FF212121"/>
      <name val="Arial"/>
      <family val="2"/>
    </font>
    <font>
      <sz val="11"/>
      <name val="Aptos Narrow"/>
      <family val="2"/>
      <scheme val="minor"/>
    </font>
    <font>
      <vertAlign val="subscript"/>
      <sz val="11"/>
      <name val="Aptos Narrow"/>
      <family val="2"/>
      <scheme val="minor"/>
    </font>
    <font>
      <b/>
      <sz val="20"/>
      <color rgb="FFFFFFFF"/>
      <name val="Aptos Narrow"/>
      <family val="2"/>
      <scheme val="minor"/>
    </font>
    <font>
      <b/>
      <sz val="20"/>
      <color theme="1"/>
      <name val="Aptos Narrow"/>
      <family val="2"/>
      <scheme val="minor"/>
    </font>
    <font>
      <b/>
      <sz val="24"/>
      <color theme="0"/>
      <name val="Aptos Narrow"/>
      <family val="2"/>
      <scheme val="minor"/>
    </font>
    <font>
      <b/>
      <sz val="26"/>
      <color theme="0"/>
      <name val="Aptos Narrow"/>
      <family val="2"/>
      <scheme val="minor"/>
    </font>
    <font>
      <sz val="11"/>
      <color theme="9" tint="0.79998168889431442"/>
      <name val="Aptos Narrow"/>
      <family val="2"/>
      <scheme val="minor"/>
    </font>
    <font>
      <b/>
      <sz val="12"/>
      <name val="Aptos Narrow"/>
      <family val="2"/>
      <scheme val="minor"/>
    </font>
    <font>
      <b/>
      <sz val="11"/>
      <name val="Aptos Narrow"/>
      <family val="2"/>
      <scheme val="minor"/>
    </font>
    <font>
      <b/>
      <sz val="14"/>
      <name val="Aptos Narrow"/>
      <family val="2"/>
      <scheme val="minor"/>
    </font>
    <font>
      <b/>
      <sz val="16"/>
      <color theme="0"/>
      <name val="Aptos Narrow"/>
      <family val="2"/>
      <scheme val="minor"/>
    </font>
    <font>
      <b/>
      <sz val="14"/>
      <color theme="0"/>
      <name val="Aptos Narrow"/>
      <family val="2"/>
      <scheme val="minor"/>
    </font>
    <font>
      <b/>
      <u/>
      <sz val="14"/>
      <color rgb="FF0070C0"/>
      <name val="Aptos Narrow"/>
      <family val="2"/>
      <scheme val="minor"/>
    </font>
    <font>
      <sz val="14"/>
      <color theme="1"/>
      <name val="Aptos Narrow"/>
      <family val="2"/>
      <scheme val="minor"/>
    </font>
    <font>
      <sz val="11"/>
      <color rgb="FF000000"/>
      <name val="Aptos Narrow"/>
    </font>
    <font>
      <b/>
      <sz val="11"/>
      <color rgb="FF000000"/>
      <name val="Aptos Narrow"/>
    </font>
    <font>
      <sz val="11"/>
      <color theme="1"/>
      <name val="Aptos Narrow"/>
      <family val="2"/>
    </font>
  </fonts>
  <fills count="17">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0"/>
        <bgColor indexed="64"/>
      </patternFill>
    </fill>
    <fill>
      <patternFill patternType="solid">
        <fgColor theme="6"/>
        <bgColor indexed="64"/>
      </patternFill>
    </fill>
    <fill>
      <patternFill patternType="solid">
        <fgColor theme="3" tint="0.89999084444715716"/>
        <bgColor indexed="64"/>
      </patternFill>
    </fill>
    <fill>
      <patternFill patternType="solid">
        <fgColor theme="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FF"/>
        <bgColor rgb="FF000000"/>
      </patternFill>
    </fill>
    <fill>
      <patternFill patternType="solid">
        <fgColor theme="4"/>
        <bgColor indexed="64"/>
      </patternFill>
    </fill>
    <fill>
      <patternFill patternType="solid">
        <fgColor theme="9"/>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DEDEDE"/>
      </left>
      <right style="medium">
        <color rgb="FFDEDEDE"/>
      </right>
      <top style="medium">
        <color rgb="FFDEDEDE"/>
      </top>
      <bottom style="medium">
        <color rgb="FFDEDEDE"/>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thick">
        <color theme="6"/>
      </right>
      <top/>
      <bottom/>
      <diagonal/>
    </border>
    <border>
      <left style="thick">
        <color theme="6"/>
      </left>
      <right/>
      <top style="thick">
        <color theme="6"/>
      </top>
      <bottom/>
      <diagonal/>
    </border>
    <border>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bottom>
      <diagonal/>
    </border>
    <border>
      <left style="thick">
        <color theme="6"/>
      </left>
      <right style="thick">
        <color theme="6"/>
      </right>
      <top style="thick">
        <color theme="6"/>
      </top>
      <bottom style="thick">
        <color theme="6"/>
      </bottom>
      <diagonal/>
    </border>
    <border>
      <left style="thick">
        <color theme="6"/>
      </left>
      <right style="thick">
        <color theme="6"/>
      </right>
      <top style="thick">
        <color theme="6"/>
      </top>
      <bottom/>
      <diagonal/>
    </border>
    <border>
      <left style="thick">
        <color theme="6"/>
      </left>
      <right style="thick">
        <color theme="6"/>
      </right>
      <top/>
      <bottom/>
      <diagonal/>
    </border>
    <border>
      <left style="thick">
        <color theme="6"/>
      </left>
      <right style="thick">
        <color theme="6"/>
      </right>
      <top/>
      <bottom style="thick">
        <color theme="6"/>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s>
  <cellStyleXfs count="3">
    <xf numFmtId="0" fontId="0" fillId="0" borderId="0"/>
    <xf numFmtId="0" fontId="16" fillId="0" borderId="0" applyNumberFormat="0" applyFill="0" applyBorder="0" applyAlignment="0" applyProtection="0"/>
    <xf numFmtId="43" fontId="17" fillId="0" borderId="0" applyFont="0" applyFill="0" applyBorder="0" applyAlignment="0" applyProtection="0"/>
  </cellStyleXfs>
  <cellXfs count="346">
    <xf numFmtId="0" fontId="0" fillId="0" borderId="0" xfId="0"/>
    <xf numFmtId="0" fontId="0" fillId="0" borderId="3" xfId="0" applyBorder="1"/>
    <xf numFmtId="0" fontId="0" fillId="0" borderId="4" xfId="0" applyBorder="1"/>
    <xf numFmtId="0" fontId="0" fillId="0" borderId="5" xfId="0" applyBorder="1"/>
    <xf numFmtId="0" fontId="0" fillId="3" borderId="1" xfId="0" applyFill="1" applyBorder="1"/>
    <xf numFmtId="0" fontId="0" fillId="4" borderId="1" xfId="0" applyFill="1" applyBorder="1"/>
    <xf numFmtId="0" fontId="0" fillId="3" borderId="6" xfId="0" applyFill="1" applyBorder="1"/>
    <xf numFmtId="0" fontId="0" fillId="4" borderId="6" xfId="0" applyFill="1" applyBorder="1"/>
    <xf numFmtId="0" fontId="0" fillId="4" borderId="8" xfId="0" applyFill="1" applyBorder="1"/>
    <xf numFmtId="0" fontId="0" fillId="3" borderId="9" xfId="0" applyFill="1" applyBorder="1"/>
    <xf numFmtId="0" fontId="0" fillId="3" borderId="10" xfId="0" applyFill="1" applyBorder="1"/>
    <xf numFmtId="0" fontId="0" fillId="3" borderId="11" xfId="0" applyFill="1" applyBorder="1"/>
    <xf numFmtId="0" fontId="0" fillId="4" borderId="12" xfId="0" applyFill="1" applyBorder="1"/>
    <xf numFmtId="0" fontId="0" fillId="4" borderId="13" xfId="0" applyFill="1" applyBorder="1"/>
    <xf numFmtId="0" fontId="0" fillId="3" borderId="12" xfId="0" applyFill="1" applyBorder="1"/>
    <xf numFmtId="0" fontId="0" fillId="3" borderId="13" xfId="0" applyFill="1" applyBorder="1"/>
    <xf numFmtId="0" fontId="0" fillId="4" borderId="14" xfId="0" applyFill="1" applyBorder="1"/>
    <xf numFmtId="0" fontId="0" fillId="4" borderId="15" xfId="0" applyFill="1" applyBorder="1"/>
    <xf numFmtId="0" fontId="0" fillId="4" borderId="16" xfId="0" applyFill="1" applyBorder="1"/>
    <xf numFmtId="0" fontId="0" fillId="0" borderId="0" xfId="0" applyAlignment="1">
      <alignment wrapText="1"/>
    </xf>
    <xf numFmtId="0" fontId="0" fillId="0" borderId="0" xfId="0" applyBorder="1"/>
    <xf numFmtId="0" fontId="0" fillId="0" borderId="1" xfId="0" applyBorder="1" applyProtection="1"/>
    <xf numFmtId="0" fontId="0" fillId="0" borderId="7" xfId="0" applyBorder="1" applyProtection="1"/>
    <xf numFmtId="0" fontId="0" fillId="0" borderId="8" xfId="0" applyBorder="1" applyProtection="1"/>
    <xf numFmtId="0" fontId="0" fillId="0" borderId="2" xfId="0" applyBorder="1" applyProtection="1"/>
    <xf numFmtId="0" fontId="0" fillId="0" borderId="1" xfId="0" applyBorder="1" applyProtection="1">
      <protection locked="0"/>
    </xf>
    <xf numFmtId="0" fontId="0" fillId="0" borderId="8" xfId="0" applyBorder="1" applyProtection="1">
      <protection locked="0"/>
    </xf>
    <xf numFmtId="43" fontId="0" fillId="0" borderId="0" xfId="0" applyNumberFormat="1"/>
    <xf numFmtId="0" fontId="0" fillId="0" borderId="0" xfId="0" applyAlignment="1"/>
    <xf numFmtId="0" fontId="0" fillId="0" borderId="0" xfId="0" applyAlignment="1">
      <alignment vertical="center"/>
    </xf>
    <xf numFmtId="0" fontId="0" fillId="0" borderId="0" xfId="0" applyAlignment="1">
      <alignment horizontal="center" vertical="center"/>
    </xf>
    <xf numFmtId="0" fontId="2" fillId="0" borderId="0" xfId="0" applyFont="1" applyBorder="1"/>
    <xf numFmtId="0" fontId="2" fillId="0" borderId="0" xfId="0" applyFont="1" applyBorder="1" applyAlignment="1"/>
    <xf numFmtId="0" fontId="1" fillId="0" borderId="0" xfId="0" applyFont="1" applyBorder="1"/>
    <xf numFmtId="0" fontId="0" fillId="0" borderId="0" xfId="0" applyBorder="1" applyProtection="1"/>
    <xf numFmtId="0" fontId="0" fillId="5" borderId="0" xfId="0" applyFill="1" applyBorder="1" applyProtection="1"/>
    <xf numFmtId="0" fontId="0" fillId="0" borderId="19" xfId="0" applyBorder="1"/>
    <xf numFmtId="43" fontId="0" fillId="5" borderId="20" xfId="0" applyNumberFormat="1" applyFill="1" applyBorder="1" applyProtection="1"/>
    <xf numFmtId="0" fontId="0" fillId="0" borderId="21" xfId="0" applyBorder="1"/>
    <xf numFmtId="0" fontId="0" fillId="0" borderId="22" xfId="0" applyBorder="1"/>
    <xf numFmtId="0" fontId="0" fillId="0" borderId="23" xfId="0" applyBorder="1"/>
    <xf numFmtId="0" fontId="2" fillId="0" borderId="20" xfId="0" applyFont="1" applyBorder="1" applyAlignment="1"/>
    <xf numFmtId="0" fontId="0" fillId="0" borderId="20" xfId="0" applyBorder="1"/>
    <xf numFmtId="0" fontId="3" fillId="4" borderId="27" xfId="0" applyFont="1" applyFill="1" applyBorder="1"/>
    <xf numFmtId="0" fontId="2" fillId="4" borderId="17" xfId="0" applyFont="1" applyFill="1" applyBorder="1"/>
    <xf numFmtId="0" fontId="0" fillId="4" borderId="17" xfId="0" applyFill="1" applyBorder="1"/>
    <xf numFmtId="0" fontId="0" fillId="4" borderId="28" xfId="0" applyFill="1" applyBorder="1"/>
    <xf numFmtId="0" fontId="1" fillId="4" borderId="17" xfId="0" applyFont="1" applyFill="1" applyBorder="1"/>
    <xf numFmtId="0" fontId="0" fillId="0" borderId="6" xfId="0" applyBorder="1" applyProtection="1">
      <protection locked="0"/>
    </xf>
    <xf numFmtId="43" fontId="0" fillId="0" borderId="7" xfId="0" applyNumberFormat="1" applyBorder="1" applyProtection="1"/>
    <xf numFmtId="0" fontId="0" fillId="0" borderId="31" xfId="0" applyBorder="1" applyProtection="1">
      <protection locked="0"/>
    </xf>
    <xf numFmtId="43" fontId="0" fillId="0" borderId="2" xfId="0" applyNumberFormat="1" applyBorder="1" applyProtection="1"/>
    <xf numFmtId="0" fontId="0" fillId="0" borderId="35" xfId="0" applyBorder="1"/>
    <xf numFmtId="0" fontId="4" fillId="6" borderId="9" xfId="0" applyFont="1" applyFill="1" applyBorder="1"/>
    <xf numFmtId="0" fontId="0" fillId="4" borderId="11" xfId="0" applyFill="1" applyBorder="1"/>
    <xf numFmtId="0" fontId="4" fillId="6" borderId="12" xfId="0" applyFont="1" applyFill="1" applyBorder="1"/>
    <xf numFmtId="0" fontId="4" fillId="6" borderId="14" xfId="0" applyFont="1" applyFill="1" applyBorder="1"/>
    <xf numFmtId="0" fontId="0" fillId="0" borderId="0" xfId="0" applyBorder="1" applyAlignment="1">
      <alignment wrapText="1"/>
    </xf>
    <xf numFmtId="0" fontId="0" fillId="0" borderId="35" xfId="0" applyBorder="1" applyAlignment="1">
      <alignment wrapText="1"/>
    </xf>
    <xf numFmtId="0" fontId="0" fillId="5" borderId="0" xfId="0" applyFill="1" applyBorder="1"/>
    <xf numFmtId="0" fontId="0" fillId="0" borderId="0" xfId="0" applyAlignment="1">
      <alignment horizontal="left"/>
    </xf>
    <xf numFmtId="0" fontId="0" fillId="4" borderId="37" xfId="0" applyFill="1" applyBorder="1"/>
    <xf numFmtId="0" fontId="8" fillId="6" borderId="1" xfId="0" applyFont="1" applyFill="1" applyBorder="1" applyAlignment="1">
      <alignment wrapText="1"/>
    </xf>
    <xf numFmtId="0" fontId="3" fillId="4" borderId="42" xfId="0" applyFont="1" applyFill="1" applyBorder="1"/>
    <xf numFmtId="0" fontId="2" fillId="4" borderId="37" xfId="0" applyFont="1" applyFill="1" applyBorder="1"/>
    <xf numFmtId="0" fontId="0" fillId="4" borderId="43" xfId="0" applyFill="1" applyBorder="1"/>
    <xf numFmtId="0" fontId="0" fillId="4" borderId="7" xfId="0" applyFill="1" applyBorder="1"/>
    <xf numFmtId="0" fontId="4" fillId="6" borderId="34" xfId="0" applyFont="1" applyFill="1" applyBorder="1" applyAlignment="1">
      <alignment wrapText="1"/>
    </xf>
    <xf numFmtId="0" fontId="4" fillId="6" borderId="32" xfId="0" applyFont="1" applyFill="1" applyBorder="1" applyAlignment="1">
      <alignment wrapText="1"/>
    </xf>
    <xf numFmtId="0" fontId="0" fillId="4" borderId="2" xfId="0" applyFill="1" applyBorder="1"/>
    <xf numFmtId="0" fontId="0" fillId="0" borderId="3" xfId="0" applyFill="1" applyBorder="1"/>
    <xf numFmtId="0" fontId="0" fillId="0" borderId="0" xfId="0" applyFill="1" applyBorder="1"/>
    <xf numFmtId="0" fontId="0" fillId="0" borderId="35" xfId="0" applyFill="1" applyBorder="1"/>
    <xf numFmtId="0" fontId="4" fillId="0" borderId="0" xfId="0" applyFont="1" applyFill="1" applyBorder="1"/>
    <xf numFmtId="0" fontId="5" fillId="4" borderId="37" xfId="0" applyFont="1" applyFill="1" applyBorder="1" applyAlignment="1">
      <alignment horizontal="left" wrapText="1"/>
    </xf>
    <xf numFmtId="0" fontId="5" fillId="4" borderId="43" xfId="0" applyFont="1" applyFill="1" applyBorder="1" applyAlignment="1">
      <alignment horizontal="left" wrapText="1"/>
    </xf>
    <xf numFmtId="0" fontId="9" fillId="2" borderId="33" xfId="0" applyFont="1" applyFill="1" applyBorder="1" applyAlignment="1">
      <alignment horizontal="center"/>
    </xf>
    <xf numFmtId="0" fontId="9" fillId="2" borderId="34" xfId="0" applyFont="1" applyFill="1" applyBorder="1" applyAlignment="1">
      <alignment horizontal="center"/>
    </xf>
    <xf numFmtId="0" fontId="9" fillId="2" borderId="32" xfId="0" applyFont="1" applyFill="1" applyBorder="1" applyAlignment="1">
      <alignment horizontal="center" wrapText="1"/>
    </xf>
    <xf numFmtId="43" fontId="9" fillId="2" borderId="32" xfId="0" applyNumberFormat="1" applyFont="1" applyFill="1" applyBorder="1" applyAlignment="1">
      <alignment horizontal="center"/>
    </xf>
    <xf numFmtId="0" fontId="5" fillId="0" borderId="0" xfId="0" applyFont="1" applyFill="1" applyBorder="1" applyAlignment="1">
      <alignment horizontal="left" wrapText="1"/>
    </xf>
    <xf numFmtId="0" fontId="5" fillId="0" borderId="35" xfId="0" applyFont="1" applyFill="1" applyBorder="1" applyAlignment="1">
      <alignment horizontal="left" wrapText="1"/>
    </xf>
    <xf numFmtId="0" fontId="0" fillId="7" borderId="3" xfId="0" applyFill="1" applyBorder="1" applyAlignment="1">
      <alignment horizontal="left" wrapText="1"/>
    </xf>
    <xf numFmtId="0" fontId="0" fillId="7" borderId="0" xfId="0" applyFill="1" applyBorder="1" applyAlignment="1">
      <alignment horizontal="left" wrapText="1"/>
    </xf>
    <xf numFmtId="0" fontId="5" fillId="7" borderId="3" xfId="0" applyFont="1" applyFill="1" applyBorder="1" applyAlignment="1">
      <alignment horizontal="left" wrapText="1"/>
    </xf>
    <xf numFmtId="0" fontId="5" fillId="7" borderId="0" xfId="0" applyFont="1" applyFill="1" applyBorder="1" applyAlignment="1">
      <alignment horizontal="left" wrapText="1"/>
    </xf>
    <xf numFmtId="0" fontId="5" fillId="7" borderId="35" xfId="0" applyFont="1" applyFill="1" applyBorder="1" applyAlignment="1">
      <alignment horizontal="left" wrapText="1"/>
    </xf>
    <xf numFmtId="0" fontId="0" fillId="7" borderId="18" xfId="0" applyFill="1" applyBorder="1" applyAlignment="1">
      <alignment horizontal="left" wrapText="1"/>
    </xf>
    <xf numFmtId="0" fontId="0" fillId="7" borderId="46" xfId="0" applyFill="1" applyBorder="1" applyAlignment="1">
      <alignment horizontal="left" wrapText="1"/>
    </xf>
    <xf numFmtId="0" fontId="15" fillId="2" borderId="34" xfId="0" applyFont="1" applyFill="1" applyBorder="1" applyAlignment="1">
      <alignment horizontal="center" wrapText="1"/>
    </xf>
    <xf numFmtId="0" fontId="0" fillId="4" borderId="1" xfId="0" applyFill="1" applyBorder="1" applyProtection="1">
      <protection locked="0"/>
    </xf>
    <xf numFmtId="0" fontId="0" fillId="4" borderId="8" xfId="0" applyFill="1" applyBorder="1" applyProtection="1">
      <protection locked="0"/>
    </xf>
    <xf numFmtId="3" fontId="0" fillId="0" borderId="1" xfId="0" applyNumberFormat="1" applyBorder="1" applyProtection="1">
      <protection locked="0"/>
    </xf>
    <xf numFmtId="0" fontId="0" fillId="9" borderId="47" xfId="0" applyFill="1" applyBorder="1"/>
    <xf numFmtId="0" fontId="4" fillId="10" borderId="47" xfId="0" applyFont="1" applyFill="1" applyBorder="1"/>
    <xf numFmtId="166" fontId="0" fillId="11" borderId="1" xfId="0" applyNumberFormat="1" applyFill="1" applyBorder="1"/>
    <xf numFmtId="165" fontId="0" fillId="11" borderId="1" xfId="0" applyNumberFormat="1" applyFill="1" applyBorder="1"/>
    <xf numFmtId="0" fontId="0" fillId="11" borderId="1" xfId="0" applyFill="1" applyBorder="1"/>
    <xf numFmtId="167" fontId="3" fillId="0" borderId="1" xfId="2" applyNumberFormat="1" applyFont="1" applyBorder="1" applyAlignment="1">
      <alignment horizontal="center" vertical="center"/>
    </xf>
    <xf numFmtId="0" fontId="0" fillId="0" borderId="40" xfId="0" applyBorder="1"/>
    <xf numFmtId="0" fontId="0" fillId="0" borderId="41" xfId="0" applyBorder="1"/>
    <xf numFmtId="0" fontId="0" fillId="0" borderId="36" xfId="0" applyBorder="1"/>
    <xf numFmtId="0" fontId="0" fillId="0" borderId="0" xfId="0" applyAlignment="1">
      <alignment horizontal="right"/>
    </xf>
    <xf numFmtId="0" fontId="0" fillId="12" borderId="0" xfId="0" applyFill="1" applyBorder="1"/>
    <xf numFmtId="0" fontId="1" fillId="0" borderId="0" xfId="0" applyFont="1" applyBorder="1" applyAlignment="1"/>
    <xf numFmtId="0" fontId="4" fillId="6" borderId="34" xfId="0" applyFont="1" applyFill="1" applyBorder="1"/>
    <xf numFmtId="0" fontId="4" fillId="6" borderId="32" xfId="0" applyFont="1" applyFill="1" applyBorder="1"/>
    <xf numFmtId="0" fontId="19" fillId="0" borderId="0" xfId="0" applyFont="1"/>
    <xf numFmtId="0" fontId="20" fillId="14" borderId="48" xfId="0" applyFont="1" applyFill="1" applyBorder="1" applyAlignment="1">
      <alignment horizontal="left" vertical="top" wrapText="1"/>
    </xf>
    <xf numFmtId="3" fontId="0" fillId="0" borderId="0" xfId="0" applyNumberFormat="1"/>
    <xf numFmtId="0" fontId="0" fillId="8" borderId="51" xfId="0" applyFill="1" applyBorder="1"/>
    <xf numFmtId="0" fontId="4" fillId="10" borderId="50" xfId="0" applyFont="1" applyFill="1" applyBorder="1"/>
    <xf numFmtId="0" fontId="4" fillId="10" borderId="34" xfId="0" applyFont="1" applyFill="1" applyBorder="1"/>
    <xf numFmtId="0" fontId="0" fillId="4" borderId="40" xfId="0" applyFill="1" applyBorder="1"/>
    <xf numFmtId="0" fontId="0" fillId="4" borderId="41" xfId="0" applyFill="1" applyBorder="1"/>
    <xf numFmtId="0" fontId="3" fillId="4" borderId="39" xfId="0" applyFont="1" applyFill="1" applyBorder="1"/>
    <xf numFmtId="0" fontId="5" fillId="0" borderId="0" xfId="0" applyFont="1" applyFill="1" applyBorder="1" applyAlignment="1">
      <alignment wrapText="1"/>
    </xf>
    <xf numFmtId="0" fontId="5" fillId="0" borderId="35" xfId="0" applyFont="1" applyFill="1" applyBorder="1" applyAlignment="1">
      <alignment wrapText="1"/>
    </xf>
    <xf numFmtId="0" fontId="0" fillId="0" borderId="0" xfId="0" applyFill="1" applyBorder="1" applyAlignment="1">
      <alignment wrapText="1"/>
    </xf>
    <xf numFmtId="0" fontId="3" fillId="0" borderId="0" xfId="0" applyFont="1" applyFill="1" applyBorder="1" applyAlignment="1"/>
    <xf numFmtId="0" fontId="0" fillId="0" borderId="0" xfId="0" applyBorder="1" applyAlignment="1"/>
    <xf numFmtId="164" fontId="0" fillId="0" borderId="1" xfId="0" applyNumberFormat="1" applyBorder="1" applyAlignment="1">
      <alignment horizontal="center" vertical="center"/>
    </xf>
    <xf numFmtId="0" fontId="4" fillId="8" borderId="9" xfId="0" applyFont="1" applyFill="1" applyBorder="1"/>
    <xf numFmtId="0" fontId="4" fillId="8" borderId="10" xfId="0" applyFont="1" applyFill="1" applyBorder="1" applyAlignment="1">
      <alignment wrapText="1"/>
    </xf>
    <xf numFmtId="0" fontId="4" fillId="8" borderId="10" xfId="0" applyFont="1" applyFill="1" applyBorder="1" applyAlignment="1">
      <alignment horizontal="center" wrapText="1"/>
    </xf>
    <xf numFmtId="0" fontId="4" fillId="8" borderId="11" xfId="0" applyFont="1" applyFill="1" applyBorder="1" applyAlignment="1">
      <alignment wrapText="1"/>
    </xf>
    <xf numFmtId="166" fontId="0" fillId="11" borderId="13" xfId="0" applyNumberFormat="1" applyFill="1" applyBorder="1"/>
    <xf numFmtId="166" fontId="0" fillId="11" borderId="15" xfId="0" applyNumberFormat="1" applyFill="1" applyBorder="1"/>
    <xf numFmtId="0" fontId="0" fillId="11" borderId="15" xfId="0" applyFill="1" applyBorder="1"/>
    <xf numFmtId="166" fontId="0" fillId="11" borderId="16" xfId="0" applyNumberFormat="1" applyFill="1" applyBorder="1"/>
    <xf numFmtId="0" fontId="4" fillId="8" borderId="55" xfId="0" applyFont="1" applyFill="1" applyBorder="1" applyAlignment="1">
      <alignment wrapText="1"/>
    </xf>
    <xf numFmtId="0" fontId="21" fillId="4" borderId="12" xfId="0" applyFont="1" applyFill="1" applyBorder="1"/>
    <xf numFmtId="0" fontId="21" fillId="4" borderId="14" xfId="0" applyFont="1" applyFill="1" applyBorder="1"/>
    <xf numFmtId="0" fontId="7" fillId="7" borderId="3" xfId="0" applyFont="1" applyFill="1" applyBorder="1" applyAlignment="1">
      <alignment horizontal="center"/>
    </xf>
    <xf numFmtId="0" fontId="7" fillId="7" borderId="0" xfId="0" applyFont="1" applyFill="1" applyBorder="1" applyAlignment="1">
      <alignment horizontal="center"/>
    </xf>
    <xf numFmtId="0" fontId="7" fillId="7" borderId="35" xfId="0" applyFont="1" applyFill="1" applyBorder="1" applyAlignment="1">
      <alignment horizontal="center"/>
    </xf>
    <xf numFmtId="0" fontId="0" fillId="9" borderId="0" xfId="0" applyFill="1" applyBorder="1" applyProtection="1">
      <protection locked="0"/>
    </xf>
    <xf numFmtId="0" fontId="0" fillId="9" borderId="0" xfId="0" applyFill="1" applyBorder="1" applyAlignment="1" applyProtection="1">
      <alignment horizontal="right"/>
      <protection locked="0"/>
    </xf>
    <xf numFmtId="0" fontId="0" fillId="9" borderId="0" xfId="0" applyFill="1" applyBorder="1"/>
    <xf numFmtId="0" fontId="4" fillId="10" borderId="8" xfId="0" applyFont="1" applyFill="1" applyBorder="1"/>
    <xf numFmtId="0" fontId="4" fillId="10" borderId="54" xfId="0" applyFont="1" applyFill="1" applyBorder="1"/>
    <xf numFmtId="0" fontId="0" fillId="0" borderId="3" xfId="0" applyFill="1" applyBorder="1" applyAlignment="1">
      <alignment horizontal="left" wrapText="1"/>
    </xf>
    <xf numFmtId="0" fontId="0" fillId="0" borderId="0" xfId="0" applyFill="1" applyBorder="1" applyAlignment="1">
      <alignment horizontal="left" wrapText="1"/>
    </xf>
    <xf numFmtId="0" fontId="3" fillId="0" borderId="35" xfId="0" applyFont="1" applyFill="1" applyBorder="1" applyAlignment="1"/>
    <xf numFmtId="0" fontId="0" fillId="0" borderId="35" xfId="0" applyFill="1" applyBorder="1" applyAlignment="1">
      <alignment horizontal="left" wrapText="1"/>
    </xf>
    <xf numFmtId="0" fontId="4" fillId="13" borderId="3" xfId="0" applyFont="1" applyFill="1" applyBorder="1"/>
    <xf numFmtId="0" fontId="4" fillId="6" borderId="57" xfId="0" applyFont="1" applyFill="1" applyBorder="1"/>
    <xf numFmtId="0" fontId="0" fillId="4" borderId="58" xfId="0" applyFill="1" applyBorder="1"/>
    <xf numFmtId="0" fontId="4" fillId="0" borderId="3" xfId="0" applyFont="1" applyFill="1" applyBorder="1"/>
    <xf numFmtId="0" fontId="0" fillId="0" borderId="41" xfId="0" applyBorder="1" applyAlignment="1"/>
    <xf numFmtId="0" fontId="0" fillId="0" borderId="35" xfId="0" applyBorder="1" applyAlignment="1"/>
    <xf numFmtId="0" fontId="0" fillId="0" borderId="3" xfId="0" applyBorder="1" applyAlignment="1"/>
    <xf numFmtId="0" fontId="3" fillId="0" borderId="3" xfId="0" applyFont="1" applyBorder="1"/>
    <xf numFmtId="0" fontId="0" fillId="0" borderId="12" xfId="0" applyBorder="1" applyAlignment="1">
      <alignment wrapText="1"/>
    </xf>
    <xf numFmtId="0" fontId="0" fillId="0" borderId="59" xfId="0" applyBorder="1" applyAlignment="1">
      <alignment wrapText="1"/>
    </xf>
    <xf numFmtId="0" fontId="0" fillId="0" borderId="4" xfId="0" applyBorder="1" applyAlignment="1"/>
    <xf numFmtId="0" fontId="0" fillId="0" borderId="36" xfId="0" applyBorder="1" applyAlignment="1"/>
    <xf numFmtId="0" fontId="16" fillId="0" borderId="0" xfId="1" applyAlignment="1">
      <alignment wrapText="1"/>
    </xf>
    <xf numFmtId="0" fontId="0" fillId="4" borderId="3" xfId="0" applyFill="1" applyBorder="1"/>
    <xf numFmtId="0" fontId="12" fillId="6" borderId="3" xfId="0" applyFont="1" applyFill="1" applyBorder="1"/>
    <xf numFmtId="0" fontId="25" fillId="0" borderId="0" xfId="0" applyFont="1" applyFill="1" applyAlignment="1">
      <alignment horizontal="center"/>
    </xf>
    <xf numFmtId="0" fontId="0" fillId="0" borderId="0" xfId="0" applyFill="1"/>
    <xf numFmtId="0" fontId="0" fillId="0" borderId="40" xfId="0" applyBorder="1" applyAlignment="1"/>
    <xf numFmtId="0" fontId="7" fillId="0" borderId="3" xfId="0" applyFont="1" applyFill="1" applyBorder="1" applyAlignment="1">
      <alignment horizontal="center"/>
    </xf>
    <xf numFmtId="0" fontId="7" fillId="0" borderId="0" xfId="0" applyFont="1" applyFill="1" applyBorder="1" applyAlignment="1">
      <alignment horizontal="center"/>
    </xf>
    <xf numFmtId="0" fontId="0" fillId="0" borderId="0" xfId="0" applyBorder="1" applyAlignment="1">
      <alignment horizontal="center" vertical="center"/>
    </xf>
    <xf numFmtId="0" fontId="0" fillId="0" borderId="35" xfId="0" applyBorder="1" applyAlignment="1">
      <alignment horizontal="center" vertical="center"/>
    </xf>
    <xf numFmtId="0" fontId="4" fillId="8" borderId="61" xfId="0" applyFont="1" applyFill="1" applyBorder="1"/>
    <xf numFmtId="0" fontId="0" fillId="2" borderId="62" xfId="0" applyFill="1" applyBorder="1"/>
    <xf numFmtId="0" fontId="4" fillId="10" borderId="61" xfId="0" applyFont="1" applyFill="1" applyBorder="1"/>
    <xf numFmtId="0" fontId="0" fillId="9" borderId="61" xfId="0" applyFill="1" applyBorder="1"/>
    <xf numFmtId="0" fontId="4" fillId="10" borderId="3" xfId="0" applyFont="1" applyFill="1" applyBorder="1"/>
    <xf numFmtId="0" fontId="4" fillId="10" borderId="0" xfId="0" applyFont="1" applyFill="1" applyBorder="1"/>
    <xf numFmtId="0" fontId="0" fillId="5" borderId="39" xfId="0" applyFill="1" applyBorder="1"/>
    <xf numFmtId="0" fontId="0" fillId="5" borderId="40" xfId="0" applyFill="1" applyBorder="1"/>
    <xf numFmtId="0" fontId="16" fillId="9" borderId="3" xfId="1" applyFill="1" applyBorder="1"/>
    <xf numFmtId="0" fontId="0" fillId="9" borderId="35" xfId="0" applyFill="1" applyBorder="1"/>
    <xf numFmtId="0" fontId="0" fillId="5" borderId="3" xfId="0" applyFill="1" applyBorder="1"/>
    <xf numFmtId="0" fontId="0" fillId="5" borderId="35" xfId="0" applyFill="1" applyBorder="1"/>
    <xf numFmtId="0" fontId="21" fillId="9" borderId="3" xfId="0" applyFont="1" applyFill="1" applyBorder="1"/>
    <xf numFmtId="0" fontId="0" fillId="5" borderId="4" xfId="0" applyFill="1" applyBorder="1"/>
    <xf numFmtId="0" fontId="0" fillId="5" borderId="5" xfId="0" applyFill="1" applyBorder="1"/>
    <xf numFmtId="0" fontId="0" fillId="0" borderId="12" xfId="0" applyFill="1" applyBorder="1"/>
    <xf numFmtId="0" fontId="0" fillId="0" borderId="1" xfId="0" applyFill="1" applyBorder="1" applyProtection="1">
      <protection locked="0"/>
    </xf>
    <xf numFmtId="0" fontId="0" fillId="0" borderId="7" xfId="0" applyFill="1" applyBorder="1"/>
    <xf numFmtId="0" fontId="0" fillId="0" borderId="1" xfId="0" applyFill="1" applyBorder="1"/>
    <xf numFmtId="0" fontId="0" fillId="0" borderId="8" xfId="0" applyFill="1" applyBorder="1"/>
    <xf numFmtId="0" fontId="0" fillId="0" borderId="2" xfId="0" applyFill="1" applyBorder="1"/>
    <xf numFmtId="0" fontId="0" fillId="0" borderId="32" xfId="0" applyNumberFormat="1" applyFill="1" applyBorder="1"/>
    <xf numFmtId="0" fontId="0" fillId="0" borderId="7" xfId="0" applyNumberFormat="1" applyFill="1" applyBorder="1"/>
    <xf numFmtId="0" fontId="0" fillId="0" borderId="2" xfId="0" applyNumberFormat="1" applyFill="1" applyBorder="1"/>
    <xf numFmtId="0" fontId="0" fillId="0" borderId="13" xfId="0" applyFill="1" applyBorder="1"/>
    <xf numFmtId="0" fontId="0" fillId="0" borderId="6" xfId="0" applyFill="1" applyBorder="1"/>
    <xf numFmtId="0" fontId="0" fillId="2" borderId="56" xfId="0" applyFill="1" applyBorder="1" applyProtection="1">
      <protection locked="0"/>
    </xf>
    <xf numFmtId="0" fontId="0" fillId="2" borderId="49" xfId="0" applyFill="1" applyBorder="1" applyProtection="1">
      <protection locked="0"/>
    </xf>
    <xf numFmtId="0" fontId="0" fillId="4" borderId="53" xfId="0" applyFill="1" applyBorder="1" applyProtection="1">
      <protection locked="0"/>
    </xf>
    <xf numFmtId="0" fontId="0" fillId="4" borderId="47" xfId="0" applyFill="1" applyBorder="1" applyProtection="1">
      <protection locked="0"/>
    </xf>
    <xf numFmtId="0" fontId="0" fillId="9" borderId="47" xfId="0" applyFill="1" applyBorder="1" applyProtection="1">
      <protection locked="0"/>
    </xf>
    <xf numFmtId="43" fontId="0" fillId="4" borderId="1" xfId="2" applyFont="1" applyFill="1" applyBorder="1" applyProtection="1">
      <protection locked="0"/>
    </xf>
    <xf numFmtId="43" fontId="0" fillId="4" borderId="15" xfId="2" applyFont="1" applyFill="1" applyBorder="1" applyProtection="1">
      <protection locked="0"/>
    </xf>
    <xf numFmtId="0" fontId="0" fillId="4" borderId="12" xfId="0" applyFill="1" applyBorder="1" applyProtection="1">
      <protection locked="0"/>
    </xf>
    <xf numFmtId="0" fontId="0" fillId="0" borderId="12" xfId="0" applyFill="1" applyBorder="1" applyProtection="1">
      <protection locked="0"/>
    </xf>
    <xf numFmtId="0" fontId="0" fillId="0" borderId="58" xfId="0" applyFill="1" applyBorder="1" applyProtection="1">
      <protection locked="0"/>
    </xf>
    <xf numFmtId="0" fontId="0" fillId="0" borderId="34" xfId="0" applyFill="1" applyBorder="1" applyProtection="1">
      <protection locked="0"/>
    </xf>
    <xf numFmtId="0" fontId="0" fillId="0" borderId="8" xfId="0" applyFill="1" applyBorder="1" applyProtection="1">
      <protection locked="0"/>
    </xf>
    <xf numFmtId="0" fontId="0" fillId="12" borderId="0" xfId="0" applyFill="1" applyBorder="1" applyProtection="1">
      <protection locked="0"/>
    </xf>
    <xf numFmtId="0" fontId="4" fillId="15" borderId="3" xfId="0" applyFont="1" applyFill="1" applyBorder="1"/>
    <xf numFmtId="0" fontId="4" fillId="15" borderId="0" xfId="0" applyFont="1" applyFill="1" applyBorder="1"/>
    <xf numFmtId="0" fontId="0" fillId="0" borderId="63" xfId="0" applyBorder="1"/>
    <xf numFmtId="0" fontId="27" fillId="0" borderId="0" xfId="0" applyFont="1"/>
    <xf numFmtId="0" fontId="0" fillId="0" borderId="0" xfId="0" applyBorder="1" applyAlignment="1">
      <alignment vertical="center"/>
    </xf>
    <xf numFmtId="0" fontId="26" fillId="0" borderId="0" xfId="0" applyFont="1" applyFill="1" applyAlignment="1"/>
    <xf numFmtId="0" fontId="30" fillId="0" borderId="0" xfId="0" applyFont="1" applyFill="1" applyBorder="1" applyAlignment="1">
      <alignment vertical="center"/>
    </xf>
    <xf numFmtId="0" fontId="0" fillId="0" borderId="0" xfId="0" applyAlignment="1">
      <alignment horizontal="center"/>
    </xf>
    <xf numFmtId="0" fontId="32" fillId="8" borderId="70" xfId="0" applyFont="1" applyFill="1" applyBorder="1" applyAlignment="1">
      <alignment wrapText="1"/>
    </xf>
    <xf numFmtId="0" fontId="34" fillId="7" borderId="71" xfId="0" applyFont="1" applyFill="1" applyBorder="1"/>
    <xf numFmtId="0" fontId="34" fillId="4" borderId="72" xfId="0" applyFont="1" applyFill="1" applyBorder="1"/>
    <xf numFmtId="0" fontId="31" fillId="8" borderId="70" xfId="0" applyFont="1" applyFill="1" applyBorder="1"/>
    <xf numFmtId="0" fontId="33" fillId="7" borderId="71" xfId="1" applyFont="1" applyFill="1" applyBorder="1" applyAlignment="1">
      <alignment horizontal="left" vertical="center"/>
    </xf>
    <xf numFmtId="0" fontId="33" fillId="4" borderId="72" xfId="1" applyFont="1" applyFill="1" applyBorder="1" applyAlignment="1">
      <alignment horizontal="left" vertical="center"/>
    </xf>
    <xf numFmtId="0" fontId="33" fillId="4" borderId="69" xfId="1" applyFont="1" applyFill="1" applyBorder="1" applyAlignment="1">
      <alignment horizontal="left" vertical="center"/>
    </xf>
    <xf numFmtId="0" fontId="34" fillId="4" borderId="69" xfId="0" applyFont="1" applyFill="1" applyBorder="1"/>
    <xf numFmtId="0" fontId="33" fillId="7" borderId="69" xfId="1" applyFont="1" applyFill="1" applyBorder="1" applyAlignment="1">
      <alignment horizontal="left" vertical="center"/>
    </xf>
    <xf numFmtId="0" fontId="34" fillId="7" borderId="69" xfId="0" applyFont="1" applyFill="1" applyBorder="1"/>
    <xf numFmtId="0" fontId="16" fillId="0" borderId="0" xfId="1" applyFill="1" applyBorder="1" applyAlignment="1"/>
    <xf numFmtId="0" fontId="29" fillId="0" borderId="0" xfId="0" applyFont="1" applyFill="1" applyBorder="1" applyAlignment="1"/>
    <xf numFmtId="0" fontId="5" fillId="4" borderId="0" xfId="0" applyFont="1" applyFill="1" applyBorder="1" applyAlignment="1">
      <alignment horizontal="left" wrapText="1"/>
    </xf>
    <xf numFmtId="0" fontId="0" fillId="4" borderId="3" xfId="0" applyFill="1" applyBorder="1" applyAlignment="1">
      <alignment horizontal="left" wrapText="1"/>
    </xf>
    <xf numFmtId="0" fontId="0" fillId="4" borderId="0" xfId="0" applyFill="1" applyBorder="1" applyAlignment="1">
      <alignment horizontal="left" wrapText="1"/>
    </xf>
    <xf numFmtId="0" fontId="0" fillId="4" borderId="35" xfId="0" applyFill="1" applyBorder="1" applyAlignment="1">
      <alignment horizontal="left"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18" fillId="0" borderId="3" xfId="0" applyFont="1" applyBorder="1" applyAlignment="1">
      <alignment horizontal="center"/>
    </xf>
    <xf numFmtId="0" fontId="18"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6" fillId="0" borderId="0" xfId="1" applyFill="1"/>
    <xf numFmtId="0" fontId="15" fillId="4" borderId="0" xfId="0" applyFont="1" applyFill="1" applyBorder="1" applyAlignment="1">
      <alignment horizontal="left" wrapText="1"/>
    </xf>
    <xf numFmtId="0" fontId="0" fillId="4" borderId="73" xfId="0" applyFill="1" applyBorder="1"/>
    <xf numFmtId="0" fontId="37" fillId="4" borderId="36" xfId="0" applyFont="1" applyFill="1" applyBorder="1" applyAlignment="1">
      <alignment wrapText="1"/>
    </xf>
    <xf numFmtId="0" fontId="21" fillId="0" borderId="0" xfId="1" applyFont="1" applyFill="1"/>
    <xf numFmtId="14" fontId="0" fillId="3" borderId="12" xfId="0" applyNumberFormat="1" applyFill="1" applyBorder="1"/>
    <xf numFmtId="0" fontId="8" fillId="8" borderId="41" xfId="0" applyFont="1" applyFill="1" applyBorder="1" applyAlignment="1">
      <alignment horizontal="center"/>
    </xf>
    <xf numFmtId="0" fontId="8" fillId="8" borderId="75" xfId="0" applyFont="1" applyFill="1" applyBorder="1" applyAlignment="1">
      <alignment horizontal="center"/>
    </xf>
    <xf numFmtId="0" fontId="15" fillId="4" borderId="77" xfId="0" applyFont="1" applyFill="1" applyBorder="1" applyAlignment="1">
      <alignment horizontal="left" wrapText="1"/>
    </xf>
    <xf numFmtId="0" fontId="15" fillId="4" borderId="74" xfId="0" applyFont="1" applyFill="1" applyBorder="1" applyAlignment="1">
      <alignment horizontal="left" wrapText="1"/>
    </xf>
    <xf numFmtId="14" fontId="0" fillId="3" borderId="76" xfId="0" applyNumberFormat="1" applyFill="1" applyBorder="1"/>
    <xf numFmtId="0" fontId="29" fillId="16" borderId="64" xfId="0" applyFont="1" applyFill="1" applyBorder="1" applyAlignment="1">
      <alignment horizontal="center"/>
    </xf>
    <xf numFmtId="0" fontId="29" fillId="16" borderId="65" xfId="0" applyFont="1" applyFill="1" applyBorder="1" applyAlignment="1">
      <alignment horizontal="center"/>
    </xf>
    <xf numFmtId="0" fontId="16" fillId="4" borderId="66" xfId="1" applyFill="1" applyBorder="1" applyAlignment="1">
      <alignment horizontal="center"/>
    </xf>
    <xf numFmtId="0" fontId="16" fillId="4" borderId="0" xfId="1" applyFill="1" applyBorder="1" applyAlignment="1">
      <alignment horizontal="center"/>
    </xf>
    <xf numFmtId="0" fontId="16" fillId="4" borderId="67" xfId="1" applyFill="1" applyBorder="1" applyAlignment="1">
      <alignment horizontal="center"/>
    </xf>
    <xf numFmtId="0" fontId="16" fillId="4" borderId="68" xfId="1" applyFill="1" applyBorder="1" applyAlignment="1">
      <alignment horizontal="center"/>
    </xf>
    <xf numFmtId="0" fontId="26" fillId="8" borderId="0" xfId="0" applyFont="1" applyFill="1" applyAlignment="1">
      <alignment horizontal="center"/>
    </xf>
    <xf numFmtId="0" fontId="28" fillId="16" borderId="2" xfId="0" applyFont="1" applyFill="1" applyBorder="1" applyAlignment="1">
      <alignment horizontal="center" vertical="center"/>
    </xf>
    <xf numFmtId="0" fontId="28" fillId="16" borderId="37" xfId="0" applyFont="1" applyFill="1" applyBorder="1" applyAlignment="1">
      <alignment horizontal="center" vertical="center"/>
    </xf>
    <xf numFmtId="0" fontId="28" fillId="16" borderId="31" xfId="0" applyFont="1" applyFill="1" applyBorder="1" applyAlignment="1">
      <alignment horizontal="center" vertical="center"/>
    </xf>
    <xf numFmtId="0" fontId="35" fillId="4" borderId="77" xfId="0" applyFont="1" applyFill="1" applyBorder="1" applyAlignment="1">
      <alignment horizontal="left" wrapText="1"/>
    </xf>
    <xf numFmtId="0" fontId="5" fillId="4" borderId="0" xfId="0" applyFont="1" applyFill="1" applyBorder="1" applyAlignment="1">
      <alignment horizontal="left" wrapText="1"/>
    </xf>
    <xf numFmtId="0" fontId="5" fillId="4" borderId="74" xfId="0" applyFont="1" applyFill="1" applyBorder="1" applyAlignment="1">
      <alignment horizontal="left" wrapText="1"/>
    </xf>
    <xf numFmtId="0" fontId="0" fillId="4" borderId="32" xfId="0" applyFill="1" applyBorder="1" applyAlignment="1">
      <alignment horizontal="left" wrapText="1"/>
    </xf>
    <xf numFmtId="0" fontId="0" fillId="4" borderId="38" xfId="0" applyFill="1" applyBorder="1" applyAlignment="1">
      <alignment horizontal="left" wrapText="1"/>
    </xf>
    <xf numFmtId="0" fontId="0" fillId="4" borderId="33" xfId="0" applyFill="1" applyBorder="1" applyAlignment="1">
      <alignment horizontal="left" wrapText="1"/>
    </xf>
    <xf numFmtId="0" fontId="9" fillId="4" borderId="77" xfId="0" applyFont="1" applyFill="1" applyBorder="1" applyAlignment="1">
      <alignment horizontal="left" wrapText="1"/>
    </xf>
    <xf numFmtId="0" fontId="15" fillId="4" borderId="0" xfId="0" applyFont="1" applyFill="1" applyBorder="1" applyAlignment="1">
      <alignment horizontal="left" wrapText="1"/>
    </xf>
    <xf numFmtId="0" fontId="15" fillId="4" borderId="74" xfId="0" applyFont="1" applyFill="1" applyBorder="1" applyAlignment="1">
      <alignment horizontal="left" wrapText="1"/>
    </xf>
    <xf numFmtId="0" fontId="6" fillId="6" borderId="24"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26" xfId="0" applyFont="1" applyFill="1" applyBorder="1" applyAlignment="1">
      <alignment horizontal="center" vertical="center"/>
    </xf>
    <xf numFmtId="0" fontId="0" fillId="4" borderId="29" xfId="0" applyFill="1" applyBorder="1" applyAlignment="1">
      <alignment horizontal="left" wrapText="1"/>
    </xf>
    <xf numFmtId="0" fontId="0" fillId="4" borderId="18" xfId="0" applyFill="1" applyBorder="1" applyAlignment="1">
      <alignment horizontal="left" wrapText="1"/>
    </xf>
    <xf numFmtId="0" fontId="0" fillId="4" borderId="30" xfId="0" applyFill="1" applyBorder="1" applyAlignment="1">
      <alignment horizontal="left" wrapText="1"/>
    </xf>
    <xf numFmtId="0" fontId="0" fillId="4" borderId="19" xfId="0" applyFill="1" applyBorder="1" applyAlignment="1">
      <alignment horizontal="left"/>
    </xf>
    <xf numFmtId="0" fontId="0" fillId="4" borderId="0" xfId="0" applyFill="1" applyBorder="1" applyAlignment="1">
      <alignment horizontal="left"/>
    </xf>
    <xf numFmtId="0" fontId="0" fillId="4" borderId="20" xfId="0" applyFill="1" applyBorder="1" applyAlignment="1">
      <alignment horizontal="left"/>
    </xf>
    <xf numFmtId="0" fontId="35" fillId="4" borderId="19" xfId="0" applyFont="1" applyFill="1" applyBorder="1" applyAlignment="1">
      <alignment horizontal="left" vertical="center" wrapText="1"/>
    </xf>
    <xf numFmtId="0" fontId="0" fillId="4" borderId="0" xfId="0" applyFill="1" applyBorder="1" applyAlignment="1">
      <alignment horizontal="left" vertical="center" wrapText="1"/>
    </xf>
    <xf numFmtId="0" fontId="0" fillId="4" borderId="20" xfId="0" applyFill="1" applyBorder="1" applyAlignment="1">
      <alignment horizontal="left" vertical="center" wrapText="1"/>
    </xf>
    <xf numFmtId="0" fontId="0" fillId="4" borderId="19" xfId="0" applyFill="1" applyBorder="1" applyAlignment="1">
      <alignment horizontal="left" vertical="center" wrapText="1"/>
    </xf>
    <xf numFmtId="0" fontId="0" fillId="0" borderId="4" xfId="0" applyBorder="1" applyAlignment="1">
      <alignment horizontal="center"/>
    </xf>
    <xf numFmtId="0" fontId="0" fillId="0" borderId="5" xfId="0" applyBorder="1" applyAlignment="1">
      <alignment horizontal="center"/>
    </xf>
    <xf numFmtId="0" fontId="0" fillId="0" borderId="36" xfId="0" applyBorder="1" applyAlignment="1">
      <alignment horizontal="center"/>
    </xf>
    <xf numFmtId="0" fontId="35" fillId="4" borderId="3"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6" fillId="6" borderId="39" xfId="0" applyFont="1" applyFill="1" applyBorder="1" applyAlignment="1">
      <alignment horizontal="center"/>
    </xf>
    <xf numFmtId="0" fontId="0" fillId="4" borderId="3" xfId="0" applyFont="1" applyFill="1" applyBorder="1" applyAlignment="1">
      <alignment horizontal="left" wrapText="1"/>
    </xf>
    <xf numFmtId="0" fontId="0" fillId="4" borderId="3" xfId="0" applyFill="1" applyBorder="1" applyAlignment="1">
      <alignment horizontal="left" wrapText="1"/>
    </xf>
    <xf numFmtId="0" fontId="0" fillId="4" borderId="0" xfId="0" applyFill="1" applyAlignment="1">
      <alignment horizontal="left" wrapText="1"/>
    </xf>
    <xf numFmtId="0" fontId="0" fillId="4" borderId="35" xfId="0" applyFill="1" applyBorder="1" applyAlignment="1">
      <alignment horizontal="left" wrapText="1"/>
    </xf>
    <xf numFmtId="0" fontId="0" fillId="5" borderId="40" xfId="0" applyFill="1" applyBorder="1" applyAlignment="1">
      <alignment horizontal="left"/>
    </xf>
    <xf numFmtId="0" fontId="0" fillId="5" borderId="41" xfId="0" applyFill="1" applyBorder="1" applyAlignment="1">
      <alignment horizontal="left"/>
    </xf>
    <xf numFmtId="0" fontId="0" fillId="5" borderId="0" xfId="0" applyFill="1" applyBorder="1" applyAlignment="1">
      <alignment horizontal="left"/>
    </xf>
    <xf numFmtId="0" fontId="0" fillId="5" borderId="35" xfId="0" applyFill="1" applyBorder="1" applyAlignment="1">
      <alignment horizontal="left"/>
    </xf>
    <xf numFmtId="0" fontId="0" fillId="9" borderId="0" xfId="0" applyFill="1" applyBorder="1" applyAlignment="1">
      <alignment horizontal="left"/>
    </xf>
    <xf numFmtId="0" fontId="0" fillId="9" borderId="35" xfId="0" applyFill="1" applyBorder="1" applyAlignment="1">
      <alignment horizontal="left"/>
    </xf>
    <xf numFmtId="0" fontId="0" fillId="5" borderId="5" xfId="0" applyFill="1" applyBorder="1" applyAlignment="1">
      <alignment horizontal="left"/>
    </xf>
    <xf numFmtId="0" fontId="0" fillId="5" borderId="36" xfId="0" applyFill="1" applyBorder="1" applyAlignment="1">
      <alignment horizontal="left"/>
    </xf>
    <xf numFmtId="0" fontId="0" fillId="4" borderId="42" xfId="0" applyFill="1" applyBorder="1" applyAlignment="1">
      <alignment horizontal="left" wrapText="1"/>
    </xf>
    <xf numFmtId="0" fontId="0" fillId="4" borderId="37" xfId="0" applyFill="1" applyBorder="1" applyAlignment="1">
      <alignment horizontal="left" wrapText="1"/>
    </xf>
    <xf numFmtId="0" fontId="0" fillId="4" borderId="0" xfId="0" applyFill="1" applyBorder="1" applyAlignment="1">
      <alignment horizontal="left" wrapText="1"/>
    </xf>
    <xf numFmtId="0" fontId="0" fillId="4" borderId="60" xfId="0" applyFill="1" applyBorder="1" applyAlignment="1">
      <alignment horizontal="left" wrapText="1"/>
    </xf>
    <xf numFmtId="0" fontId="0" fillId="4" borderId="46" xfId="0" applyFill="1" applyBorder="1" applyAlignment="1">
      <alignment horizontal="left" wrapText="1"/>
    </xf>
    <xf numFmtId="0" fontId="0" fillId="4" borderId="44" xfId="0" applyFill="1" applyBorder="1" applyAlignment="1">
      <alignment horizontal="left" wrapText="1"/>
    </xf>
    <xf numFmtId="0" fontId="0" fillId="4" borderId="45" xfId="0" applyFill="1" applyBorder="1" applyAlignment="1">
      <alignment horizontal="left"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36" xfId="0" applyFill="1" applyBorder="1" applyAlignment="1">
      <alignment horizontal="left" vertical="center" wrapText="1"/>
    </xf>
    <xf numFmtId="0" fontId="4" fillId="8" borderId="8" xfId="0" applyFont="1" applyFill="1" applyBorder="1" applyAlignment="1">
      <alignment horizontal="center"/>
    </xf>
    <xf numFmtId="0" fontId="4" fillId="8" borderId="34" xfId="0" applyFont="1" applyFill="1" applyBorder="1" applyAlignment="1">
      <alignment horizontal="center"/>
    </xf>
    <xf numFmtId="0" fontId="6" fillId="8" borderId="39" xfId="0" applyFont="1" applyFill="1" applyBorder="1" applyAlignment="1">
      <alignment horizontal="center"/>
    </xf>
    <xf numFmtId="0" fontId="6" fillId="8" borderId="40" xfId="0" applyFont="1" applyFill="1" applyBorder="1" applyAlignment="1">
      <alignment horizontal="center"/>
    </xf>
    <xf numFmtId="0" fontId="3" fillId="4" borderId="24" xfId="0" applyFont="1" applyFill="1" applyBorder="1" applyAlignment="1">
      <alignment horizontal="left"/>
    </xf>
    <xf numFmtId="0" fontId="3" fillId="4" borderId="25" xfId="0" applyFont="1" applyFill="1" applyBorder="1" applyAlignment="1">
      <alignment horizontal="left"/>
    </xf>
    <xf numFmtId="0" fontId="3" fillId="4" borderId="26" xfId="0" applyFont="1" applyFill="1" applyBorder="1" applyAlignment="1">
      <alignment horizontal="left"/>
    </xf>
    <xf numFmtId="0" fontId="3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0" fillId="4" borderId="61" xfId="0" applyFill="1" applyBorder="1" applyAlignment="1">
      <alignment horizontal="right"/>
    </xf>
    <xf numFmtId="0" fontId="0" fillId="4" borderId="47" xfId="0" applyFill="1" applyBorder="1" applyAlignment="1">
      <alignment horizontal="right"/>
    </xf>
    <xf numFmtId="0" fontId="3" fillId="4" borderId="39" xfId="0" applyFont="1" applyFill="1" applyBorder="1" applyAlignment="1">
      <alignment horizontal="left" vertical="top" wrapText="1"/>
    </xf>
    <xf numFmtId="0" fontId="3" fillId="4" borderId="40" xfId="0" applyFont="1" applyFill="1" applyBorder="1" applyAlignment="1">
      <alignment horizontal="left" vertical="top" wrapText="1"/>
    </xf>
    <xf numFmtId="0" fontId="3" fillId="4" borderId="41" xfId="0" applyFont="1" applyFill="1"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4" borderId="53" xfId="0" applyFill="1" applyBorder="1" applyAlignment="1">
      <alignment horizontal="right"/>
    </xf>
    <xf numFmtId="0" fontId="0" fillId="4" borderId="52" xfId="0" applyFill="1" applyBorder="1" applyAlignment="1">
      <alignment horizontal="right"/>
    </xf>
    <xf numFmtId="0" fontId="0" fillId="4" borderId="3" xfId="0" applyFill="1" applyBorder="1" applyAlignment="1">
      <alignment horizontal="left" vertical="center" wrapText="1"/>
    </xf>
    <xf numFmtId="0" fontId="0" fillId="4" borderId="35" xfId="0" applyFill="1" applyBorder="1" applyAlignment="1">
      <alignment horizontal="left" vertical="center" wrapText="1"/>
    </xf>
    <xf numFmtId="0" fontId="23" fillId="8" borderId="39" xfId="0" applyFont="1" applyFill="1" applyBorder="1" applyAlignment="1">
      <alignment horizontal="center"/>
    </xf>
    <xf numFmtId="0" fontId="24" fillId="8" borderId="40" xfId="0" applyFont="1" applyFill="1" applyBorder="1" applyAlignment="1">
      <alignment horizontal="center"/>
    </xf>
    <xf numFmtId="0" fontId="18" fillId="0" borderId="3" xfId="0" applyFont="1" applyBorder="1" applyAlignment="1">
      <alignment horizontal="center"/>
    </xf>
    <xf numFmtId="0" fontId="18" fillId="0" borderId="0" xfId="0" applyFont="1" applyBorder="1" applyAlignment="1">
      <alignment horizontal="center"/>
    </xf>
    <xf numFmtId="0" fontId="0" fillId="4" borderId="3" xfId="0" applyFill="1" applyBorder="1" applyAlignment="1">
      <alignment horizontal="left"/>
    </xf>
    <xf numFmtId="0" fontId="0" fillId="4" borderId="35" xfId="0" applyFill="1" applyBorder="1" applyAlignment="1">
      <alignment horizontal="left"/>
    </xf>
    <xf numFmtId="0" fontId="0" fillId="4" borderId="4" xfId="0" applyFill="1" applyBorder="1" applyAlignment="1">
      <alignment horizontal="left"/>
    </xf>
    <xf numFmtId="0" fontId="0" fillId="4" borderId="5" xfId="0" applyFill="1" applyBorder="1" applyAlignment="1">
      <alignment horizontal="left"/>
    </xf>
    <xf numFmtId="0" fontId="0" fillId="4" borderId="36" xfId="0" applyFill="1" applyBorder="1" applyAlignment="1">
      <alignment horizontal="left"/>
    </xf>
    <xf numFmtId="0" fontId="1" fillId="0" borderId="3" xfId="0" applyFont="1" applyBorder="1" applyAlignment="1">
      <alignment horizontal="center"/>
    </xf>
    <xf numFmtId="0" fontId="1" fillId="0" borderId="0" xfId="0" applyFont="1" applyBorder="1" applyAlignment="1">
      <alignment horizontal="center"/>
    </xf>
    <xf numFmtId="0" fontId="0" fillId="4" borderId="4" xfId="0" applyFill="1" applyBorder="1" applyAlignment="1">
      <alignment horizontal="left" wrapText="1"/>
    </xf>
    <xf numFmtId="0" fontId="0" fillId="4" borderId="5" xfId="0" applyFill="1" applyBorder="1" applyAlignment="1">
      <alignment horizontal="left" wrapText="1"/>
    </xf>
    <xf numFmtId="0" fontId="0" fillId="4" borderId="36" xfId="0" applyFill="1" applyBorder="1" applyAlignment="1">
      <alignment horizontal="left" wrapText="1"/>
    </xf>
    <xf numFmtId="0" fontId="6" fillId="15" borderId="0" xfId="0" applyFont="1" applyFill="1" applyAlignment="1">
      <alignment horizontal="center" wrapText="1"/>
    </xf>
    <xf numFmtId="0" fontId="21" fillId="0" borderId="0" xfId="0" applyFont="1" applyFill="1" applyAlignment="1">
      <alignment horizontal="left" wrapText="1"/>
    </xf>
    <xf numFmtId="0" fontId="6" fillId="0" borderId="0" xfId="0" applyFont="1" applyFill="1" applyAlignment="1">
      <alignment horizontal="left" wrapText="1"/>
    </xf>
    <xf numFmtId="0" fontId="6" fillId="8" borderId="0" xfId="0" applyFont="1" applyFill="1" applyAlignment="1">
      <alignment horizontal="center"/>
    </xf>
  </cellXfs>
  <cellStyles count="3">
    <cellStyle name="Comma" xfId="2" builtinId="3"/>
    <cellStyle name="Hyperlink" xfId="1" builtinId="8"/>
    <cellStyle name="Normal" xfId="0" builtinId="0"/>
  </cellStyles>
  <dxfs count="59">
    <dxf>
      <border diagonalUp="0" diagonalDown="0">
        <left style="medium">
          <color indexed="64"/>
        </left>
        <right/>
        <top/>
        <bottom/>
        <vertical/>
        <horizontal/>
      </border>
    </dxf>
    <dxf>
      <alignment horizontal="righ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theme="0"/>
        <name val="Aptos Narrow"/>
        <family val="2"/>
        <scheme val="minor"/>
      </font>
      <fill>
        <patternFill patternType="solid">
          <fgColor indexed="64"/>
          <bgColor theme="9" tint="-0.499984740745262"/>
        </patternFill>
      </fill>
      <border diagonalUp="0" diagonalDown="0" outline="0">
        <left style="thin">
          <color indexed="64"/>
        </left>
        <right style="thin">
          <color indexed="64"/>
        </right>
        <top/>
        <bottom/>
      </border>
    </dxf>
    <dxf>
      <numFmt numFmtId="0" formatCode="General"/>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theme="0"/>
        <name val="Aptos Narrow"/>
        <family val="2"/>
        <scheme val="minor"/>
      </font>
      <fill>
        <patternFill patternType="solid">
          <fgColor indexed="64"/>
          <bgColor theme="9" tint="-0.499984740745262"/>
        </patternFill>
      </fill>
      <border diagonalUp="0" diagonalDown="0" outline="0">
        <left style="thin">
          <color indexed="64"/>
        </left>
        <right style="thin">
          <color indexed="64"/>
        </right>
        <top/>
        <bottom/>
      </border>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9" tint="0.79998168889431442"/>
        </patternFill>
      </fill>
      <border diagonalUp="0" diagonalDown="0">
        <left style="thin">
          <color indexed="64"/>
        </left>
        <right/>
        <top style="thin">
          <color indexed="64"/>
        </top>
        <bottom style="thin">
          <color indexed="64"/>
        </bottom>
      </border>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Aptos Narrow"/>
        <family val="2"/>
        <scheme val="minor"/>
      </font>
      <fill>
        <patternFill patternType="solid">
          <fgColor indexed="64"/>
          <bgColor theme="9" tint="-0.499984740745262"/>
        </patternFill>
      </fill>
      <border diagonalUp="0" diagonalDown="0" outline="0">
        <left style="thin">
          <color indexed="64"/>
        </left>
        <right style="thin">
          <color indexed="64"/>
        </right>
        <top/>
        <bottom/>
      </border>
    </dxf>
    <dxf>
      <numFmt numFmtId="0" formatCode="General"/>
      <fill>
        <patternFill>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Aptos Narrow"/>
        <family val="2"/>
        <scheme val="minor"/>
      </font>
      <fill>
        <patternFill patternType="solid">
          <fgColor indexed="64"/>
          <bgColor theme="9" tint="-0.499984740745262"/>
        </patternFill>
      </fill>
      <border diagonalUp="0" diagonalDown="0" outline="0">
        <left style="thin">
          <color indexed="64"/>
        </left>
        <right style="thin">
          <color indexed="64"/>
        </right>
        <top/>
        <bottom/>
      </border>
    </dxf>
    <dxf>
      <fill>
        <patternFill patternType="solid">
          <fgColor indexed="64"/>
          <bgColor theme="9" tint="0.79998168889431442"/>
        </patternFill>
      </fill>
      <border diagonalUp="0" diagonalDown="0">
        <left style="thin">
          <color indexed="64"/>
        </left>
        <right/>
        <top style="thin">
          <color indexed="64"/>
        </top>
        <bottom style="thin">
          <color indexed="64"/>
        </bottom>
        <vertical/>
        <horizontal/>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Aptos Narrow"/>
        <family val="2"/>
        <scheme val="minor"/>
      </font>
      <fill>
        <patternFill patternType="solid">
          <fgColor indexed="64"/>
          <bgColor theme="9" tint="-0.49998474074526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35" formatCode="_(* #,##0.00_);_(* \(#,##0.00\);_(* &quot;-&quot;??_);_(@_)"/>
      <border diagonalUp="0" diagonalDown="0">
        <left style="thin">
          <color indexed="64"/>
        </left>
        <right/>
        <top style="thin">
          <color indexed="64"/>
        </top>
        <bottom style="thin">
          <color indexed="64"/>
        </bottom>
        <vertical/>
        <horizontal/>
      </border>
      <protection locked="1" hidden="0"/>
    </dxf>
    <dxf>
      <numFmt numFmtId="0" formatCode="General"/>
      <border diagonalUp="0" diagonalDown="0">
        <left style="thin">
          <color indexed="64"/>
        </left>
        <right/>
        <top style="thin">
          <color indexed="64"/>
        </top>
        <bottom style="thin">
          <color indexed="64"/>
        </bottom>
        <vertical/>
        <horizontal/>
      </border>
      <protection locked="1" hidden="0"/>
    </dxf>
    <dxf>
      <numFmt numFmtId="0" formatCode="General"/>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color rgb="FF000000"/>
      </font>
      <fill>
        <patternFill patternType="solid">
          <fgColor indexed="64"/>
          <bgColor theme="9" tint="0.59999389629810485"/>
        </patternFill>
      </fill>
      <alignment horizontal="center" vertical="bottom" textRotation="0"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13</xdr:row>
      <xdr:rowOff>114300</xdr:rowOff>
    </xdr:from>
    <xdr:to>
      <xdr:col>2</xdr:col>
      <xdr:colOff>742950</xdr:colOff>
      <xdr:row>14</xdr:row>
      <xdr:rowOff>19050</xdr:rowOff>
    </xdr:to>
    <xdr:pic>
      <xdr:nvPicPr>
        <xdr:cNvPr id="2" name="Picture 1">
          <a:extLst>
            <a:ext uri="{FF2B5EF4-FFF2-40B4-BE49-F238E27FC236}">
              <a16:creationId xmlns:a16="http://schemas.microsoft.com/office/drawing/2014/main" id="{EBE97E14-8879-F3D5-27B7-FF32C6941742}"/>
            </a:ext>
            <a:ext uri="{147F2762-F138-4A5C-976F-8EAC2B608ADB}">
              <a16:predDERef xmlns:a16="http://schemas.microsoft.com/office/drawing/2014/main" pred="{D9C9EEAE-5DE7-39A2-4A2E-FC99F5EA06DF}"/>
            </a:ext>
          </a:extLst>
        </xdr:cNvPr>
        <xdr:cNvPicPr>
          <a:picLocks noChangeAspect="1"/>
        </xdr:cNvPicPr>
      </xdr:nvPicPr>
      <xdr:blipFill>
        <a:blip xmlns:r="http://schemas.openxmlformats.org/officeDocument/2006/relationships" r:embed="rId1"/>
        <a:stretch>
          <a:fillRect/>
        </a:stretch>
      </xdr:blipFill>
      <xdr:spPr>
        <a:xfrm>
          <a:off x="1952625" y="3724275"/>
          <a:ext cx="2819400" cy="285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137160</xdr:colOff>
      <xdr:row>15</xdr:row>
      <xdr:rowOff>140970</xdr:rowOff>
    </xdr:from>
    <xdr:to>
      <xdr:col>10</xdr:col>
      <xdr:colOff>575310</xdr:colOff>
      <xdr:row>17</xdr:row>
      <xdr:rowOff>55245</xdr:rowOff>
    </xdr:to>
    <xdr:pic>
      <xdr:nvPicPr>
        <xdr:cNvPr id="3" name="Picture 2">
          <a:extLst>
            <a:ext uri="{FF2B5EF4-FFF2-40B4-BE49-F238E27FC236}">
              <a16:creationId xmlns:a16="http://schemas.microsoft.com/office/drawing/2014/main" id="{8003ECB2-11ED-D7A7-15E4-471030CB08BC}"/>
            </a:ext>
            <a:ext uri="{147F2762-F138-4A5C-976F-8EAC2B608ADB}">
              <a16:predDERef xmlns:a16="http://schemas.microsoft.com/office/drawing/2014/main" pred="{BCA15C1F-7113-A29F-0E45-F9EDDD6E9079}"/>
            </a:ext>
          </a:extLst>
        </xdr:cNvPr>
        <xdr:cNvPicPr>
          <a:picLocks noChangeAspect="1"/>
        </xdr:cNvPicPr>
      </xdr:nvPicPr>
      <xdr:blipFill>
        <a:blip xmlns:r="http://schemas.openxmlformats.org/officeDocument/2006/relationships" r:embed="rId1"/>
        <a:stretch>
          <a:fillRect/>
        </a:stretch>
      </xdr:blipFill>
      <xdr:spPr>
        <a:xfrm>
          <a:off x="4732020" y="2251710"/>
          <a:ext cx="4705350" cy="280035"/>
        </a:xfrm>
        <a:prstGeom prst="rect">
          <a:avLst/>
        </a:prstGeom>
      </xdr:spPr>
    </xdr:pic>
    <xdr:clientData/>
  </xdr:twoCellAnchor>
  <xdr:twoCellAnchor editAs="oneCell">
    <xdr:from>
      <xdr:col>3</xdr:col>
      <xdr:colOff>108585</xdr:colOff>
      <xdr:row>12</xdr:row>
      <xdr:rowOff>114300</xdr:rowOff>
    </xdr:from>
    <xdr:to>
      <xdr:col>10</xdr:col>
      <xdr:colOff>413385</xdr:colOff>
      <xdr:row>13</xdr:row>
      <xdr:rowOff>85725</xdr:rowOff>
    </xdr:to>
    <xdr:pic>
      <xdr:nvPicPr>
        <xdr:cNvPr id="4" name="Picture 3">
          <a:extLst>
            <a:ext uri="{FF2B5EF4-FFF2-40B4-BE49-F238E27FC236}">
              <a16:creationId xmlns:a16="http://schemas.microsoft.com/office/drawing/2014/main" id="{37754A88-752B-57C9-30E8-6FDD58C52A39}"/>
            </a:ext>
            <a:ext uri="{147F2762-F138-4A5C-976F-8EAC2B608ADB}">
              <a16:predDERef xmlns:a16="http://schemas.microsoft.com/office/drawing/2014/main" pred="{8003ECB2-11ED-D7A7-15E4-471030CB08BC}"/>
            </a:ext>
          </a:extLst>
        </xdr:cNvPr>
        <xdr:cNvPicPr>
          <a:picLocks noChangeAspect="1"/>
        </xdr:cNvPicPr>
      </xdr:nvPicPr>
      <xdr:blipFill>
        <a:blip xmlns:r="http://schemas.openxmlformats.org/officeDocument/2006/relationships" r:embed="rId2"/>
        <a:stretch>
          <a:fillRect/>
        </a:stretch>
      </xdr:blipFill>
      <xdr:spPr>
        <a:xfrm>
          <a:off x="4703445" y="1661160"/>
          <a:ext cx="4572000" cy="337185"/>
        </a:xfrm>
        <a:prstGeom prst="rect">
          <a:avLst/>
        </a:prstGeom>
      </xdr:spPr>
    </xdr:pic>
    <xdr:clientData/>
  </xdr:twoCellAnchor>
  <xdr:twoCellAnchor editAs="oneCell">
    <xdr:from>
      <xdr:col>3</xdr:col>
      <xdr:colOff>139065</xdr:colOff>
      <xdr:row>18</xdr:row>
      <xdr:rowOff>173355</xdr:rowOff>
    </xdr:from>
    <xdr:to>
      <xdr:col>10</xdr:col>
      <xdr:colOff>443865</xdr:colOff>
      <xdr:row>21</xdr:row>
      <xdr:rowOff>175260</xdr:rowOff>
    </xdr:to>
    <xdr:pic>
      <xdr:nvPicPr>
        <xdr:cNvPr id="5" name="Picture 4">
          <a:extLst>
            <a:ext uri="{FF2B5EF4-FFF2-40B4-BE49-F238E27FC236}">
              <a16:creationId xmlns:a16="http://schemas.microsoft.com/office/drawing/2014/main" id="{EA99EF5C-DCE4-0E1D-A9F6-4EA875E92F71}"/>
            </a:ext>
            <a:ext uri="{147F2762-F138-4A5C-976F-8EAC2B608ADB}">
              <a16:predDERef xmlns:a16="http://schemas.microsoft.com/office/drawing/2014/main" pred="{37754A88-752B-57C9-30E8-6FDD58C52A39}"/>
            </a:ext>
          </a:extLst>
        </xdr:cNvPr>
        <xdr:cNvPicPr>
          <a:picLocks noChangeAspect="1"/>
        </xdr:cNvPicPr>
      </xdr:nvPicPr>
      <xdr:blipFill>
        <a:blip xmlns:r="http://schemas.openxmlformats.org/officeDocument/2006/relationships" r:embed="rId3"/>
        <a:stretch>
          <a:fillRect/>
        </a:stretch>
      </xdr:blipFill>
      <xdr:spPr>
        <a:xfrm>
          <a:off x="4733925" y="2840355"/>
          <a:ext cx="4572000" cy="558165"/>
        </a:xfrm>
        <a:prstGeom prst="rect">
          <a:avLst/>
        </a:prstGeom>
      </xdr:spPr>
    </xdr:pic>
    <xdr:clientData/>
  </xdr:twoCellAnchor>
  <xdr:twoCellAnchor editAs="oneCell">
    <xdr:from>
      <xdr:col>3</xdr:col>
      <xdr:colOff>286270</xdr:colOff>
      <xdr:row>28</xdr:row>
      <xdr:rowOff>22860</xdr:rowOff>
    </xdr:from>
    <xdr:to>
      <xdr:col>7</xdr:col>
      <xdr:colOff>558165</xdr:colOff>
      <xdr:row>31</xdr:row>
      <xdr:rowOff>70485</xdr:rowOff>
    </xdr:to>
    <xdr:pic>
      <xdr:nvPicPr>
        <xdr:cNvPr id="6" name="Picture 5">
          <a:extLst>
            <a:ext uri="{FF2B5EF4-FFF2-40B4-BE49-F238E27FC236}">
              <a16:creationId xmlns:a16="http://schemas.microsoft.com/office/drawing/2014/main" id="{F6A0C8FF-5E01-BE5D-A000-78023934B8B4}"/>
            </a:ext>
            <a:ext uri="{147F2762-F138-4A5C-976F-8EAC2B608ADB}">
              <a16:predDERef xmlns:a16="http://schemas.microsoft.com/office/drawing/2014/main" pred="{EA99EF5C-DCE4-0E1D-A9F6-4EA875E92F71}"/>
            </a:ext>
          </a:extLst>
        </xdr:cNvPr>
        <xdr:cNvPicPr>
          <a:picLocks noChangeAspect="1"/>
        </xdr:cNvPicPr>
      </xdr:nvPicPr>
      <xdr:blipFill>
        <a:blip xmlns:r="http://schemas.openxmlformats.org/officeDocument/2006/relationships" r:embed="rId4"/>
        <a:stretch>
          <a:fillRect/>
        </a:stretch>
      </xdr:blipFill>
      <xdr:spPr>
        <a:xfrm>
          <a:off x="5284990" y="6964680"/>
          <a:ext cx="2710295" cy="596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314911</xdr:colOff>
      <xdr:row>23</xdr:row>
      <xdr:rowOff>180829</xdr:rowOff>
    </xdr:from>
    <xdr:to>
      <xdr:col>4</xdr:col>
      <xdr:colOff>105361</xdr:colOff>
      <xdr:row>27</xdr:row>
      <xdr:rowOff>13189</xdr:rowOff>
    </xdr:to>
    <xdr:pic>
      <xdr:nvPicPr>
        <xdr:cNvPr id="4" name="Picture 1">
          <a:extLst>
            <a:ext uri="{FF2B5EF4-FFF2-40B4-BE49-F238E27FC236}">
              <a16:creationId xmlns:a16="http://schemas.microsoft.com/office/drawing/2014/main" id="{05F19283-9796-6B12-3A10-C05502B1236B}"/>
            </a:ext>
          </a:extLst>
        </xdr:cNvPr>
        <xdr:cNvPicPr>
          <a:picLocks noChangeAspect="1"/>
        </xdr:cNvPicPr>
      </xdr:nvPicPr>
      <xdr:blipFill>
        <a:blip xmlns:r="http://schemas.openxmlformats.org/officeDocument/2006/relationships" r:embed="rId1"/>
        <a:stretch>
          <a:fillRect/>
        </a:stretch>
      </xdr:blipFill>
      <xdr:spPr>
        <a:xfrm>
          <a:off x="4079191" y="5766289"/>
          <a:ext cx="2899410" cy="579120"/>
        </a:xfrm>
        <a:prstGeom prst="rect">
          <a:avLst/>
        </a:prstGeom>
      </xdr:spPr>
    </xdr:pic>
    <xdr:clientData/>
  </xdr:twoCellAnchor>
  <xdr:oneCellAnchor>
    <xdr:from>
      <xdr:col>5</xdr:col>
      <xdr:colOff>1219200</xdr:colOff>
      <xdr:row>18</xdr:row>
      <xdr:rowOff>185737</xdr:rowOff>
    </xdr:from>
    <xdr:ext cx="65" cy="172227"/>
    <xdr:sp macro="" textlink="">
      <xdr:nvSpPr>
        <xdr:cNvPr id="6" name="TextBox 5">
          <a:extLst>
            <a:ext uri="{FF2B5EF4-FFF2-40B4-BE49-F238E27FC236}">
              <a16:creationId xmlns:a16="http://schemas.microsoft.com/office/drawing/2014/main" id="{83E1A8EA-ECBE-6A8B-2D00-3A3B92D5A235}"/>
            </a:ext>
          </a:extLst>
        </xdr:cNvPr>
        <xdr:cNvSpPr txBox="1"/>
      </xdr:nvSpPr>
      <xdr:spPr>
        <a:xfrm>
          <a:off x="8458200" y="29289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Spies, Bridgit M (DEC)" id="{E1C4620D-3889-46B3-AE90-CBB7BC5D7E49}" userId="S::bridgit.spies@dec.ny.gov::6d072bff-2542-4d7b-b333-914d93cc2918" providerId="AD"/>
  <person displayName="Papageorgiou, Ona P (DEC)" id="{EF614B6B-CD91-4BA0-95FC-67C0592E6F40}" userId="S::ona.papageorgiou@dec.ny.gov::1f34a127-fe42-4372-bb33-494b0bc79fa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82685A-2AD6-4EDC-AEEA-2132ACC04A10}" name="Table3" displayName="Table3" ref="A12:G43" totalsRowShown="0" headerRowDxfId="58" headerRowBorderDxfId="57" tableBorderDxfId="56" totalsRowBorderDxfId="55">
  <autoFilter ref="A12:G43" xr:uid="{F982685A-2AD6-4EDC-AEEA-2132ACC04A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734C30B-CD08-4DBD-AF12-A05E1BC292A3}" name="Fuel Type" dataDxfId="54"/>
    <tableColumn id="2" xr3:uid="{C1AEA7AF-F3E8-41DD-BCCC-3A606F16F924}" name="Fuel Qty " dataDxfId="53"/>
    <tableColumn id="7" xr3:uid="{0ED6676C-44A2-45F2-B5F1-6298F654E422}" name="Units" dataDxfId="52">
      <calculatedColumnFormula>IFERROR(VLOOKUP(A13,'list items (hide)'!A:E,5,FALSE),"")</calculatedColumnFormula>
    </tableColumn>
    <tableColumn id="5" xr3:uid="{D9AB1911-C716-4593-BE44-1A8101E5A903}" name="Fuel Source" dataDxfId="51"/>
    <tableColumn id="3" xr3:uid="{17941521-D31B-4209-9E97-DAD8BDB2BDF5}" name="EF (KgCO2e/mmbtu)" dataDxfId="50">
      <calculatedColumnFormula>IFERROR(IF(Table3[[#This Row],[Fuel Source]]="In State", VLOOKUP(A13,'list items (hide)'!A:C,3,FALSE), VLOOKUP(A13,'list items (hide)'!A:C,2,FALSE)),"")</calculatedColumnFormula>
    </tableColumn>
    <tableColumn id="6" xr3:uid="{9F898EE7-9E27-44AB-975E-AB8AA58421BD}" name="High Heat Value (mmbtu/fuel unit)" dataDxfId="49">
      <calculatedColumnFormula>IFERROR(VLOOKUP(A13,'list items (hide)'!A:D,4,FALSE),"")</calculatedColumnFormula>
    </tableColumn>
    <tableColumn id="4" xr3:uid="{C2766434-1447-41F5-89DD-7FF7F410A06C}" name="Emissions CO2e (Mt)" dataDxfId="48">
      <calculatedColumnFormula>IFERROR(Table3[[#This Row],[Fuel Qty ]]*Table3[[#This Row],[EF (KgCO2e/mmbtu)]]*Table3[[#This Row],[High Heat Value (mmbtu/fuel unit)]]/1000,"")</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66BDC84-C0FB-4127-B3C0-E1B914A66E9B}" name="Table11" displayName="Table11" ref="I2:K5" totalsRowShown="0">
  <autoFilter ref="I2:K5" xr:uid="{466BDC84-C0FB-4127-B3C0-E1B914A66E9B}"/>
  <tableColumns count="3">
    <tableColumn id="1" xr3:uid="{D135F77D-D22A-4863-A83D-92134FA55BC9}" name="MEMS"/>
    <tableColumn id="2" xr3:uid="{FEE3260B-00E0-4C68-8852-07B1CB2E077F}" name="EF"/>
    <tableColumn id="3" xr3:uid="{339DA157-94DD-480F-9A4A-20494065856A}" name="GWP"/>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50A870C-A119-4274-86BD-1B00AF5BE503}" name="Table13" displayName="Table13" ref="A10:E18" totalsRowShown="0">
  <autoFilter ref="A10:E18" xr:uid="{350A870C-A119-4274-86BD-1B00AF5BE503}">
    <filterColumn colId="0" hiddenButton="1"/>
    <filterColumn colId="1" hiddenButton="1"/>
    <filterColumn colId="2" hiddenButton="1"/>
    <filterColumn colId="3" hiddenButton="1"/>
    <filterColumn colId="4" hiddenButton="1"/>
  </autoFilter>
  <tableColumns count="5">
    <tableColumn id="1" xr3:uid="{D2389A9A-2FFE-496D-B0FF-6DC2F75B4F01}" name="Gas"/>
    <tableColumn id="2" xr3:uid="{F874C448-F3BD-48E8-B205-88E52AD4D633}" name="1-Ui "/>
    <tableColumn id="3" xr3:uid="{5BAE93B1-CD97-4014-8D7D-22D29C9B68E5}" name="BCF4"/>
    <tableColumn id="4" xr3:uid="{CFFA5C10-4B70-42EE-B29C-89AEDBF0314E}" name="BC2F6"/>
    <tableColumn id="5" xr3:uid="{3F1F3F06-C55E-4DAD-B1B7-32A34BC6F491}" name="GWP"/>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93D33A-81C6-4D99-82E7-585BD89CA485}" name="Table1" displayName="Table1" ref="A1:E36" totalsRowShown="0">
  <autoFilter ref="A1:E36" xr:uid="{D993D33A-81C6-4D99-82E7-585BD89CA485}"/>
  <tableColumns count="5">
    <tableColumn id="1" xr3:uid="{45614468-1EDB-4D98-BB31-9368929F2037}" name="Fuel Type" dataDxfId="0"/>
    <tableColumn id="2" xr3:uid="{BEA7490B-BEEB-41F7-8B55-4A47E2C45403}" name="Out of State EF"/>
    <tableColumn id="3" xr3:uid="{049D805D-BE40-4B85-8A20-EE9F1F401B67}" name="In State EF"/>
    <tableColumn id="4" xr3:uid="{2AEC7936-1D49-4D3D-83FC-C3B96F36BBFD}" name="HHV"/>
    <tableColumn id="5" xr3:uid="{E588848E-1A9A-4B49-9188-32AEACD1A922}" name="Uni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7272FF-60CE-4B12-B026-0660459F7A37}" name="Table2" displayName="Table2" ref="A19:C86" totalsRowShown="0" headerRowDxfId="47" headerRowBorderDxfId="46" tableBorderDxfId="45" totalsRowBorderDxfId="44">
  <autoFilter ref="A19:C86" xr:uid="{727272FF-60CE-4B12-B026-0660459F7A37}">
    <filterColumn colId="0" hiddenButton="1"/>
    <filterColumn colId="1" hiddenButton="1"/>
    <filterColumn colId="2" hiddenButton="1"/>
  </autoFilter>
  <tableColumns count="3">
    <tableColumn id="1" xr3:uid="{029CBBA9-42E0-4D77-A5F5-E309CDD36677}" name="Year" dataDxfId="43"/>
    <tableColumn id="2" xr3:uid="{857CC65F-735F-4667-8095-C8CB013C6531}" name="Quantity of waste disposed, wet waste/ as received (Metric Tons)" dataDxfId="42"/>
    <tableColumn id="3" xr3:uid="{6D62DEDD-30DE-44EC-94EA-2B25A47E8A2B}" name="GCH4" dataDxfId="41">
      <calculatedColumnFormula>B20*MCF*DOC*DOCF*F*(16/12)*(EXP(-k*($A$86-A20-1))-EXP(-k*($A$86-A20)))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37C0B3-E8BC-4236-9445-0ABB446F48F6}" name="Table5" displayName="Table5" ref="A16:D22" totalsRowShown="0" headerRowDxfId="40" headerRowBorderDxfId="39" tableBorderDxfId="38" totalsRowBorderDxfId="37">
  <autoFilter ref="A16:D22" xr:uid="{E737C0B3-E8BC-4236-9445-0ABB446F48F6}">
    <filterColumn colId="0" hiddenButton="1"/>
    <filterColumn colId="1" hiddenButton="1"/>
    <filterColumn colId="2" hiddenButton="1"/>
    <filterColumn colId="3" hiddenButton="1"/>
  </autoFilter>
  <tableColumns count="4">
    <tableColumn id="1" xr3:uid="{B6099D49-CBB4-4701-B7FA-0AAEB9364D3F}" name="F-gas type" dataDxfId="36"/>
    <tableColumn id="2" xr3:uid="{53E5D931-0D10-487D-B7D2-CD178301E379}" name="EF" dataDxfId="35">
      <calculatedColumnFormula>IFERROR(VLOOKUP(Table5[[#This Row],[F-gas type]], Table9[#All], 2,FALSE), "")</calculatedColumnFormula>
    </tableColumn>
    <tableColumn id="3" xr3:uid="{F6930B02-44B9-45B2-810F-280685CA2040}" name="GWP" dataDxfId="34">
      <calculatedColumnFormula>IFERROR(VLOOKUP(Table5[[#This Row],[F-gas type]], Table9[#All], 3,FALSE), "")</calculatedColumnFormula>
    </tableColumn>
    <tableColumn id="4" xr3:uid="{0CBFB749-7904-4842-B24D-D3EA961AAA9F}" name="Ei" dataDxfId="33">
      <calculatedColumnFormula>IFERROR((Table5[[#This Row],[EF]]*Table5[[#This Row],[GWP]]*B14*0.001)," ")</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F02916A-E946-4811-A1BC-E32E73DE804E}" name="Table6" displayName="Table6" ref="A30:D33" totalsRowShown="0" headerRowDxfId="32" headerRowBorderDxfId="31" tableBorderDxfId="30" totalsRowBorderDxfId="29">
  <autoFilter ref="A30:D33" xr:uid="{FF02916A-E946-4811-A1BC-E32E73DE804E}">
    <filterColumn colId="0" hiddenButton="1"/>
    <filterColumn colId="1" hiddenButton="1"/>
    <filterColumn colId="2" hiddenButton="1"/>
    <filterColumn colId="3" hiddenButton="1"/>
  </autoFilter>
  <tableColumns count="4">
    <tableColumn id="1" xr3:uid="{29578D12-4DAE-43AD-BED4-8FA19D595A90}" name="F-gas type" dataDxfId="28"/>
    <tableColumn id="2" xr3:uid="{AE63CCB7-B230-4E1E-8D65-F3F77D84F6C8}" name="EF" dataDxfId="27">
      <calculatedColumnFormula>IFERROR(VLOOKUP(Table6[[#This Row],[F-gas type]], Table11[#All], 2,FALSE), "")</calculatedColumnFormula>
    </tableColumn>
    <tableColumn id="3" xr3:uid="{9956F7CA-2AC2-4C75-84F9-AEEE46C29B8D}" name="GWP" dataDxfId="26">
      <calculatedColumnFormula>IFERROR(VLOOKUP(Table6[[#This Row],[F-gas type]], Table11[#All], 3,FALSE), "")</calculatedColumnFormula>
    </tableColumn>
    <tableColumn id="4" xr3:uid="{100B6442-EFC4-47B5-9B3B-5FAA58D4686B}" name="Ei" dataDxfId="25">
      <calculatedColumnFormula>IFERROR((Table6[[#This Row],[EF]]*Table6[[#This Row],[GWP]]*0.001*B27)," ")</calculatedColumnFormula>
    </tableColumn>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3859EDA-7F33-4313-82E2-E36B2E54F26C}" name="Table7" displayName="Table7" ref="A40:D45" totalsRowShown="0" headerRowDxfId="24" dataDxfId="22" headerRowBorderDxfId="23" tableBorderDxfId="21" totalsRowBorderDxfId="20">
  <autoFilter ref="A40:D45" xr:uid="{23859EDA-7F33-4313-82E2-E36B2E54F26C}">
    <filterColumn colId="0" hiddenButton="1"/>
    <filterColumn colId="1" hiddenButton="1"/>
    <filterColumn colId="2" hiddenButton="1"/>
    <filterColumn colId="3" hiddenButton="1"/>
  </autoFilter>
  <tableColumns count="4">
    <tableColumn id="1" xr3:uid="{D8CC1772-E78C-42B3-9E09-5B7C339698A4}" name="F-gas type" dataDxfId="19"/>
    <tableColumn id="2" xr3:uid="{CE8163C9-E1FB-4EC4-8267-35B58FF8D104}" name="EF" dataDxfId="18">
      <calculatedColumnFormula>IFERROR(VLOOKUP(Table7[[#This Row],[F-gas type]], Table10[#All], 2,FALSE), "")</calculatedColumnFormula>
    </tableColumn>
    <tableColumn id="3" xr3:uid="{6D2988C2-3308-4E1B-9C72-097059E5AA32}" name="GWP" dataDxfId="17">
      <calculatedColumnFormula>IFERROR(VLOOKUP(Table7[[#This Row],[F-gas type]], Table10[#All], 3,FALSE), "")</calculatedColumnFormula>
    </tableColumn>
    <tableColumn id="4" xr3:uid="{DB4D62CD-D421-4535-A85C-0F47318C726E}" name="Ei" dataDxfId="16">
      <calculatedColumnFormula>IFERROR((Table7[[#This Row],[EF]]*Table7[[#This Row],[GWP]]*B37*0.000001), " ")</calculatedColumnFormula>
    </tableColumn>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2845F6-484C-4EB8-B14A-C2E6308BACAC}" name="Table8" displayName="Table8" ref="A52:G60" totalsRowShown="0" headerRowDxfId="15" dataDxfId="13" headerRowBorderDxfId="14" tableBorderDxfId="12" totalsRowBorderDxfId="11">
  <autoFilter ref="A52:G60" xr:uid="{9D2845F6-484C-4EB8-B14A-C2E6308BACA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D553868-C8A3-439C-94E5-87D66F86AFE9}" name="F-gas type" dataDxfId="10"/>
    <tableColumn id="2" xr3:uid="{2BE015A7-2FBF-49FF-87B5-4691CFA51BD9}" name="Consumption" dataDxfId="9"/>
    <tableColumn id="3" xr3:uid="{0DB08359-4656-41E9-BE6C-6846B5900A07}" name="Ui emission factor" dataDxfId="8">
      <calculatedColumnFormula>IFERROR((VLOOKUP(Table8[[#This Row],[F-gas type]], Table13[#All], 2, FALSE))," ")</calculatedColumnFormula>
    </tableColumn>
    <tableColumn id="4" xr3:uid="{41A23CD0-A65D-4C24-8403-3115524C3597}" name="BCF4" dataDxfId="7">
      <calculatedColumnFormula>IFERROR((VLOOKUP(Table8[[#This Row],[F-gas type]], Table13[#All], 3, FALSE))," ")</calculatedColumnFormula>
    </tableColumn>
    <tableColumn id="5" xr3:uid="{EFF13464-47BA-49B2-A7E4-8E06B86702CC}" name="BC2F6" dataDxfId="6">
      <calculatedColumnFormula>IFERROR((VLOOKUP(Table8[[#This Row],[F-gas type]], Table13[#All], 4, FALSE))," ")</calculatedColumnFormula>
    </tableColumn>
    <tableColumn id="6" xr3:uid="{01113EAF-8994-4BA2-B039-497C21AA760D}" name="GWP" dataDxfId="5">
      <calculatedColumnFormula>IFERROR((VLOOKUP(Table8[[#This Row],[F-gas type]], Table13[#All], 5, FALSE)), " ")</calculatedColumnFormula>
    </tableColumn>
    <tableColumn id="7" xr3:uid="{D07F9E5A-BBCB-4E74-91CD-52CC306A8C10}" name="Ei " dataDxfId="4">
      <calculatedColumnFormula>IFERROR((Table8[[#This Row],[Consumption]]*(Table8[[#This Row],[GWP]]*Table8[[#This Row],[Ui emission factor]]+'Electronics Manufacturing'!E30*Table8[[#This Row],[BCF4]]+'Electronics Manufacturing'!E31*Table8[[#This Row],[BC2F6]])*0.001), " ")</calculatedColumn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BA9740-5288-4B35-B3FB-03AE18D2570C}" name="Table4" displayName="Table4" ref="A5:C11" totalsRowShown="0">
  <autoFilter ref="A5:C11" xr:uid="{98BA9740-5288-4B35-B3FB-03AE18D2570C}"/>
  <tableColumns count="3">
    <tableColumn id="3" xr3:uid="{021D14F8-8525-4AFC-8773-3D8F99B32F71}" name="cover type abrv" dataDxfId="3"/>
    <tableColumn id="1" xr3:uid="{547BF040-9E97-4D15-BD62-E96EF0B0DB44}" name="Type of landfill cover" dataDxfId="2"/>
    <tableColumn id="2" xr3:uid="{94932246-4C3D-4B93-9EED-299B4BE39FEF}" name="oxidation factor"/>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DB63870-E758-43D3-A8DE-D994E0E2202F}" name="Table9" displayName="Table9" ref="A2:C8" totalsRowShown="0">
  <autoFilter ref="A2:C8" xr:uid="{6DB63870-E758-43D3-A8DE-D994E0E2202F}"/>
  <tableColumns count="3">
    <tableColumn id="1" xr3:uid="{6A16071A-85FA-4AF7-87F7-1465E483EDC9}" name="Semiconductors "/>
    <tableColumn id="2" xr3:uid="{F6AF85CA-ED6A-4627-9DB6-C404D03A51D0}" name="EF" dataDxfId="1"/>
    <tableColumn id="3" xr3:uid="{55CC6D71-C5AB-4347-8D29-9FB6C6CAFD25}" name="GWP"/>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BC2203B-20D3-4518-AAAB-D996B68C50C1}" name="Table10" displayName="Table10" ref="E2:G7" totalsRowShown="0">
  <autoFilter ref="E2:G7" xr:uid="{4BC2203B-20D3-4518-AAAB-D996B68C50C1}"/>
  <tableColumns count="3">
    <tableColumn id="1" xr3:uid="{64CB165F-A20A-4207-B93C-CC0D2835ADC9}" name="LCD"/>
    <tableColumn id="2" xr3:uid="{6088B382-0821-4ADC-8EFA-2ADA33C23550}" name="EF"/>
    <tableColumn id="3" xr3:uid="{EDC949D0-A677-4C41-9B5B-D40C82F45091}" name="GWP"/>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5-04-29T17:10:07.40" personId="{EF614B6B-CD91-4BA0-95FC-67C0592E6F40}" id="{7634BEDF-536D-45AC-B805-3EFBA5C5D829}" done="1">
    <text>Something weird is happening in this row.</text>
  </threadedComment>
</ThreadedComments>
</file>

<file path=xl/threadedComments/threadedComment2.xml><?xml version="1.0" encoding="utf-8"?>
<ThreadedComments xmlns="http://schemas.microsoft.com/office/spreadsheetml/2018/threadedcomments" xmlns:x="http://schemas.openxmlformats.org/spreadsheetml/2006/main">
  <threadedComment ref="A9" dT="2025-04-29T17:11:29.10" personId="{EF614B6B-CD91-4BA0-95FC-67C0592E6F40}" id="{34BAC463-3E15-477B-9FCD-133CCCD701BD}" done="1">
    <text>Something is wrong with this row.</text>
  </threadedComment>
  <threadedComment ref="A9" dT="2025-04-29T18:27:53.39" personId="{E1C4620D-3889-46B3-AE90-CBB7BC5D7E49}" id="{251D8DA0-1D65-4A89-9048-81B9A2E46E2A}" parentId="{34BAC463-3E15-477B-9FCD-133CCCD701BD}">
    <text xml:space="preserve">Looks like it got shrunk somehow. I've expanded it and I'll check and make sure everything is readable before I lock up the sheet. </text>
  </threadedComment>
  <threadedComment ref="D91" dT="2025-04-29T17:13:18.20" personId="{EF614B6B-CD91-4BA0-95FC-67C0592E6F40}" id="{1FCC04D0-CCFC-4B39-BFB6-6E237AA46F8A}" done="1">
    <text>What is GCCS?</text>
  </threadedComment>
  <threadedComment ref="D91" dT="2025-04-29T18:29:34.13" personId="{E1C4620D-3889-46B3-AE90-CBB7BC5D7E49}" id="{697656EF-79A5-429B-AC43-B29521FEAA15}" parentId="{1FCC04D0-CCFC-4B39-BFB6-6E237AA46F8A}">
    <text xml:space="preserve">Gas collection control system. This should be a known acronym by owners and operators of landfills. </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5-04-29T17:16:24.62" personId="{EF614B6B-CD91-4BA0-95FC-67C0592E6F40}" id="{18450828-884A-43BD-AB5D-6B01D65C0BA0}" done="1">
    <text>Spell out HHV either here or somewhere below.</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dec.ny.gov/environmental-protection/air-quality/mandatory-greenhouse-gas-reporting" TargetMode="External"/><Relationship Id="rId1" Type="http://schemas.openxmlformats.org/officeDocument/2006/relationships/hyperlink" Target="https://dec.ny.gov/environmental-protection/air-quality/mandatory-greenhouse-gas-reporting"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2.bin"/><Relationship Id="rId5" Type="http://schemas.openxmlformats.org/officeDocument/2006/relationships/table" Target="../tables/table11.xml"/><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C2471-D265-4F4C-A4E9-394F58362CFA}">
  <dimension ref="A1:Q23"/>
  <sheetViews>
    <sheetView showGridLines="0" workbookViewId="0">
      <selection activeCell="G2" sqref="G1:G1048576"/>
    </sheetView>
  </sheetViews>
  <sheetFormatPr defaultRowHeight="14.5" x14ac:dyDescent="0.35"/>
  <cols>
    <col min="2" max="4" width="11" customWidth="1"/>
    <col min="5" max="5" width="10.26953125" customWidth="1"/>
    <col min="6" max="6" width="37.7265625" customWidth="1"/>
    <col min="7" max="7" width="38.453125" customWidth="1"/>
    <col min="8" max="9" width="10.1796875" customWidth="1"/>
  </cols>
  <sheetData>
    <row r="1" spans="1:17" ht="45" customHeight="1" x14ac:dyDescent="0.8">
      <c r="A1" s="253" t="s">
        <v>0</v>
      </c>
      <c r="B1" s="253"/>
      <c r="C1" s="253"/>
      <c r="D1" s="253"/>
      <c r="E1" s="253"/>
      <c r="F1" s="253"/>
      <c r="G1" s="253"/>
      <c r="H1" s="253"/>
      <c r="I1" s="253"/>
      <c r="J1" s="253"/>
      <c r="K1" s="253"/>
      <c r="L1" s="253"/>
      <c r="M1" s="253"/>
      <c r="N1" s="211"/>
      <c r="O1" s="211"/>
      <c r="P1" s="211"/>
      <c r="Q1" s="211"/>
    </row>
    <row r="2" spans="1:17" s="161" customFormat="1" ht="16.899999999999999" customHeight="1" thickBot="1" x14ac:dyDescent="0.75">
      <c r="A2" s="161" t="s">
        <v>217</v>
      </c>
      <c r="B2" s="160"/>
      <c r="C2" s="160"/>
      <c r="D2" s="160"/>
      <c r="E2" s="160"/>
      <c r="F2" s="160"/>
      <c r="G2" s="160"/>
      <c r="H2" s="160"/>
      <c r="I2" s="160"/>
      <c r="J2" s="160"/>
      <c r="K2" s="160"/>
    </row>
    <row r="3" spans="1:17" s="161" customFormat="1" ht="16.899999999999999" customHeight="1" x14ac:dyDescent="0.7">
      <c r="A3" s="236" t="s">
        <v>221</v>
      </c>
      <c r="B3" s="160"/>
      <c r="C3" s="160"/>
      <c r="D3" s="160"/>
      <c r="E3" s="160"/>
      <c r="F3" s="160"/>
      <c r="G3" s="160"/>
      <c r="H3" s="160"/>
      <c r="I3" s="160"/>
      <c r="J3" s="160"/>
      <c r="K3" s="160"/>
    </row>
    <row r="4" spans="1:17" s="161" customFormat="1" ht="16.899999999999999" customHeight="1" x14ac:dyDescent="0.7">
      <c r="A4" s="240"/>
      <c r="B4" s="160"/>
      <c r="C4" s="160"/>
      <c r="D4" s="160"/>
      <c r="E4" s="160"/>
      <c r="F4" s="160"/>
      <c r="G4" s="160"/>
      <c r="H4" s="160"/>
      <c r="I4" s="160"/>
      <c r="J4" s="160"/>
      <c r="K4" s="160"/>
    </row>
    <row r="5" spans="1:17" ht="27" customHeight="1" x14ac:dyDescent="0.35">
      <c r="B5" s="254" t="s">
        <v>1</v>
      </c>
      <c r="C5" s="255"/>
      <c r="D5" s="255"/>
      <c r="E5" s="255"/>
      <c r="F5" s="255"/>
      <c r="G5" s="255"/>
      <c r="H5" s="255"/>
      <c r="I5" s="255"/>
      <c r="J5" s="255"/>
      <c r="K5" s="255"/>
      <c r="L5" s="256"/>
      <c r="M5" s="212"/>
      <c r="N5" s="212"/>
      <c r="O5" s="212"/>
      <c r="P5" s="212"/>
      <c r="Q5" s="20"/>
    </row>
    <row r="6" spans="1:17" ht="33" customHeight="1" x14ac:dyDescent="0.35">
      <c r="B6" s="257" t="s">
        <v>218</v>
      </c>
      <c r="C6" s="258"/>
      <c r="D6" s="258"/>
      <c r="E6" s="258"/>
      <c r="F6" s="258"/>
      <c r="G6" s="258"/>
      <c r="H6" s="258"/>
      <c r="I6" s="258"/>
      <c r="J6" s="258"/>
      <c r="K6" s="258"/>
      <c r="L6" s="259"/>
      <c r="M6" s="116"/>
      <c r="N6" s="116"/>
      <c r="O6" s="116"/>
      <c r="P6" s="116"/>
      <c r="Q6" s="20"/>
    </row>
    <row r="7" spans="1:17" ht="78.75" customHeight="1" x14ac:dyDescent="0.35">
      <c r="B7" s="263" t="s">
        <v>219</v>
      </c>
      <c r="C7" s="264"/>
      <c r="D7" s="264"/>
      <c r="E7" s="264"/>
      <c r="F7" s="264"/>
      <c r="G7" s="264"/>
      <c r="H7" s="264"/>
      <c r="I7" s="264"/>
      <c r="J7" s="264"/>
      <c r="K7" s="264"/>
      <c r="L7" s="265"/>
    </row>
    <row r="8" spans="1:17" ht="15" customHeight="1" x14ac:dyDescent="0.35">
      <c r="B8" s="244"/>
      <c r="C8" s="237"/>
      <c r="D8" s="237"/>
      <c r="E8" s="237"/>
      <c r="F8" s="237"/>
      <c r="G8" s="237"/>
      <c r="H8" s="237"/>
      <c r="I8" s="237"/>
      <c r="J8" s="237"/>
      <c r="K8" s="237"/>
      <c r="L8" s="245"/>
    </row>
    <row r="9" spans="1:17" ht="28.15" customHeight="1" x14ac:dyDescent="0.35">
      <c r="B9" s="260" t="s">
        <v>2</v>
      </c>
      <c r="C9" s="261"/>
      <c r="D9" s="261"/>
      <c r="E9" s="261"/>
      <c r="F9" s="261"/>
      <c r="G9" s="261"/>
      <c r="H9" s="261"/>
      <c r="I9" s="261"/>
      <c r="J9" s="261"/>
      <c r="K9" s="261"/>
      <c r="L9" s="262"/>
      <c r="M9" s="118"/>
      <c r="N9" s="118"/>
      <c r="O9" s="118"/>
      <c r="P9" s="118"/>
      <c r="Q9" s="20"/>
    </row>
    <row r="10" spans="1:17" ht="18.75" customHeight="1" x14ac:dyDescent="0.35"/>
    <row r="11" spans="1:17" ht="44.5" customHeight="1" thickTop="1" thickBot="1" x14ac:dyDescent="0.55000000000000004">
      <c r="F11" s="217" t="s">
        <v>3</v>
      </c>
      <c r="G11" s="214" t="s">
        <v>4</v>
      </c>
    </row>
    <row r="12" spans="1:17" ht="46.9" customHeight="1" thickTop="1" thickBot="1" x14ac:dyDescent="0.5">
      <c r="F12" s="220" t="s">
        <v>5</v>
      </c>
      <c r="G12" s="221">
        <v>2.7</v>
      </c>
      <c r="M12" s="20"/>
      <c r="N12" s="20"/>
    </row>
    <row r="13" spans="1:17" ht="46.9" customHeight="1" thickTop="1" thickBot="1" x14ac:dyDescent="0.5">
      <c r="E13" s="208"/>
      <c r="F13" s="218" t="s">
        <v>6</v>
      </c>
      <c r="G13" s="215">
        <v>2.13</v>
      </c>
    </row>
    <row r="14" spans="1:17" ht="46.9" customHeight="1" thickTop="1" thickBot="1" x14ac:dyDescent="0.5">
      <c r="E14" s="209"/>
      <c r="F14" s="220" t="s">
        <v>7</v>
      </c>
      <c r="G14" s="221">
        <v>2.2999999999999998</v>
      </c>
      <c r="K14" s="213"/>
    </row>
    <row r="15" spans="1:17" ht="46.9" customHeight="1" thickTop="1" thickBot="1" x14ac:dyDescent="0.5">
      <c r="F15" s="222" t="s">
        <v>8</v>
      </c>
      <c r="G15" s="223">
        <v>2.8</v>
      </c>
    </row>
    <row r="16" spans="1:17" ht="46.9" customHeight="1" thickTop="1" thickBot="1" x14ac:dyDescent="0.5">
      <c r="F16" s="219" t="s">
        <v>9</v>
      </c>
      <c r="G16" s="216">
        <v>2.6</v>
      </c>
    </row>
    <row r="17" spans="1:16" ht="18" customHeight="1" thickTop="1" thickBot="1" x14ac:dyDescent="0.4"/>
    <row r="18" spans="1:16" ht="15" thickTop="1" x14ac:dyDescent="0.35">
      <c r="A18" s="208"/>
      <c r="B18" s="247" t="s">
        <v>10</v>
      </c>
      <c r="C18" s="248"/>
      <c r="D18" s="248"/>
      <c r="E18" s="248"/>
      <c r="F18" s="248"/>
      <c r="G18" s="248"/>
      <c r="H18" s="248"/>
      <c r="I18" s="248"/>
      <c r="J18" s="248"/>
      <c r="K18" s="248"/>
      <c r="L18" s="248"/>
      <c r="M18" s="225"/>
      <c r="N18" s="225"/>
      <c r="O18" s="225"/>
      <c r="P18" s="225"/>
    </row>
    <row r="19" spans="1:16" x14ac:dyDescent="0.35">
      <c r="A19" s="208"/>
      <c r="B19" s="249" t="s">
        <v>11</v>
      </c>
      <c r="C19" s="250"/>
      <c r="D19" s="250"/>
      <c r="E19" s="250"/>
      <c r="F19" s="250"/>
      <c r="G19" s="250"/>
      <c r="H19" s="250"/>
      <c r="I19" s="250"/>
      <c r="J19" s="250"/>
      <c r="K19" s="250"/>
      <c r="L19" s="250"/>
      <c r="M19" s="224"/>
      <c r="N19" s="224"/>
      <c r="O19" s="224"/>
      <c r="P19" s="224"/>
    </row>
    <row r="20" spans="1:16" ht="15" thickBot="1" x14ac:dyDescent="0.4">
      <c r="A20" s="208"/>
      <c r="B20" s="251" t="s">
        <v>216</v>
      </c>
      <c r="C20" s="252"/>
      <c r="D20" s="252"/>
      <c r="E20" s="252"/>
      <c r="F20" s="252"/>
      <c r="G20" s="252"/>
      <c r="H20" s="252"/>
      <c r="I20" s="252"/>
      <c r="J20" s="252"/>
      <c r="K20" s="252"/>
      <c r="L20" s="252"/>
      <c r="M20" s="224"/>
      <c r="N20" s="224"/>
      <c r="O20" s="224"/>
      <c r="P20" s="224"/>
    </row>
    <row r="21" spans="1:16" ht="15" thickTop="1" x14ac:dyDescent="0.35"/>
    <row r="23" spans="1:16" x14ac:dyDescent="0.35">
      <c r="G23" s="20"/>
    </row>
  </sheetData>
  <mergeCells count="8">
    <mergeCell ref="B18:L18"/>
    <mergeCell ref="B19:L19"/>
    <mergeCell ref="B20:L20"/>
    <mergeCell ref="A1:M1"/>
    <mergeCell ref="B5:L5"/>
    <mergeCell ref="B6:L6"/>
    <mergeCell ref="B9:L9"/>
    <mergeCell ref="B7:L7"/>
  </mergeCells>
  <hyperlinks>
    <hyperlink ref="F15" location="'Glass Production'!A1" display="Glass Production " xr:uid="{3CD78F5E-39EB-4E00-9E77-4E398CA903A8}"/>
    <hyperlink ref="F16" location="'Electronics Manufacturing'!A1" display="Electronics Manufacturing" xr:uid="{6E6610C4-84A2-4376-ABB6-6F00710773D4}"/>
    <hyperlink ref="F14" location="'Cement Production'!A1" display="Cement Production" xr:uid="{60CD2BB3-2790-4267-940C-BC63EB959B30}"/>
    <hyperlink ref="F13" location="'MSW Landfills'!A1" display="MSW Landfills" xr:uid="{13F8F462-A67E-4941-B964-7FB8F468B282}"/>
    <hyperlink ref="F12" location="'Fuel Combustion Emissions'!A1" display="Fuel Combustion emissions" xr:uid="{F965218A-14DF-42ED-8C0A-72AB2B382CEC}"/>
    <hyperlink ref="B19" r:id="rId1" display="https://dec.ny.gov/environmental-protection/air-quality/mandatory-greenhouse-gas-reporting" xr:uid="{AEB59ACB-B1C3-4060-A24B-9D030593D8BC}"/>
    <hyperlink ref="A3" r:id="rId2" display="This GHG Emisssions Estimator Tool and other information can be obtained here" xr:uid="{B5594417-493B-41AF-A52D-5DEABD9A4B95}"/>
    <hyperlink ref="B20:L20" location="'Change Log'!A1" display="A log of the changes made to this sheet can be found here" xr:uid="{A190FB9E-4060-498E-A346-BE7871ED1A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53745-E64C-4F11-A221-0EF01312BC4B}">
  <dimension ref="A2:K18"/>
  <sheetViews>
    <sheetView workbookViewId="0">
      <selection activeCell="H27" sqref="H27"/>
    </sheetView>
  </sheetViews>
  <sheetFormatPr defaultRowHeight="14.5" x14ac:dyDescent="0.35"/>
  <cols>
    <col min="1" max="1" width="21.54296875" customWidth="1"/>
    <col min="2" max="2" width="14.26953125" customWidth="1"/>
  </cols>
  <sheetData>
    <row r="2" spans="1:11" x14ac:dyDescent="0.35">
      <c r="A2" t="s">
        <v>189</v>
      </c>
      <c r="B2" t="s">
        <v>99</v>
      </c>
      <c r="C2" t="s">
        <v>100</v>
      </c>
      <c r="E2" t="s">
        <v>190</v>
      </c>
      <c r="F2" t="s">
        <v>99</v>
      </c>
      <c r="G2" t="s">
        <v>100</v>
      </c>
      <c r="I2" t="s">
        <v>191</v>
      </c>
      <c r="J2" t="s">
        <v>99</v>
      </c>
      <c r="K2" t="s">
        <v>100</v>
      </c>
    </row>
    <row r="3" spans="1:11" x14ac:dyDescent="0.35">
      <c r="A3" t="s">
        <v>104</v>
      </c>
      <c r="B3" s="102">
        <v>0.9</v>
      </c>
      <c r="C3" s="107">
        <v>4880</v>
      </c>
      <c r="E3" t="s">
        <v>104</v>
      </c>
      <c r="F3">
        <v>0.65</v>
      </c>
      <c r="G3" s="107">
        <v>4880</v>
      </c>
      <c r="I3" t="s">
        <v>104</v>
      </c>
      <c r="J3">
        <v>1.4999999999999999E-2</v>
      </c>
      <c r="K3" s="107">
        <v>4880</v>
      </c>
    </row>
    <row r="4" spans="1:11" x14ac:dyDescent="0.35">
      <c r="A4" t="s">
        <v>192</v>
      </c>
      <c r="B4" s="102">
        <v>1</v>
      </c>
      <c r="C4" s="107">
        <v>8210</v>
      </c>
      <c r="E4" t="s">
        <v>102</v>
      </c>
      <c r="F4">
        <v>2.3999999999999998E-3</v>
      </c>
      <c r="G4" s="109">
        <v>10800</v>
      </c>
      <c r="I4" t="s">
        <v>193</v>
      </c>
      <c r="J4">
        <v>7.5999999999999998E-2</v>
      </c>
      <c r="K4">
        <v>7110</v>
      </c>
    </row>
    <row r="5" spans="1:11" ht="15" thickBot="1" x14ac:dyDescent="0.4">
      <c r="A5" t="s">
        <v>102</v>
      </c>
      <c r="B5" s="102">
        <v>0.04</v>
      </c>
      <c r="C5" s="109">
        <v>10800</v>
      </c>
      <c r="E5" t="s">
        <v>194</v>
      </c>
      <c r="F5">
        <v>1.29</v>
      </c>
      <c r="G5" s="109">
        <v>12800</v>
      </c>
      <c r="I5" t="s">
        <v>195</v>
      </c>
      <c r="J5">
        <v>1.86</v>
      </c>
      <c r="K5" s="109">
        <v>17500</v>
      </c>
    </row>
    <row r="6" spans="1:11" ht="15" thickBot="1" x14ac:dyDescent="0.4">
      <c r="A6" t="s">
        <v>196</v>
      </c>
      <c r="B6" s="102">
        <v>0.05</v>
      </c>
      <c r="C6" s="108">
        <v>6640</v>
      </c>
      <c r="E6" t="s">
        <v>195</v>
      </c>
      <c r="F6">
        <v>4.1399999999999997</v>
      </c>
      <c r="G6" s="109">
        <v>17500</v>
      </c>
    </row>
    <row r="7" spans="1:11" x14ac:dyDescent="0.35">
      <c r="A7" t="s">
        <v>194</v>
      </c>
      <c r="B7" s="102">
        <v>0.04</v>
      </c>
      <c r="C7" s="109">
        <v>12800</v>
      </c>
      <c r="E7" t="s">
        <v>197</v>
      </c>
      <c r="F7">
        <v>17.059999999999999</v>
      </c>
      <c r="G7">
        <v>264</v>
      </c>
    </row>
    <row r="8" spans="1:11" x14ac:dyDescent="0.35">
      <c r="A8" t="s">
        <v>195</v>
      </c>
      <c r="B8" s="102">
        <v>0.2</v>
      </c>
      <c r="C8" s="109">
        <v>17500</v>
      </c>
    </row>
    <row r="10" spans="1:11" x14ac:dyDescent="0.35">
      <c r="A10" t="s">
        <v>198</v>
      </c>
      <c r="B10" s="102" t="s">
        <v>199</v>
      </c>
      <c r="C10" t="s">
        <v>109</v>
      </c>
      <c r="D10" t="s">
        <v>110</v>
      </c>
      <c r="E10" t="s">
        <v>100</v>
      </c>
    </row>
    <row r="11" spans="1:11" x14ac:dyDescent="0.35">
      <c r="A11" t="s">
        <v>104</v>
      </c>
      <c r="B11">
        <v>0.8</v>
      </c>
      <c r="C11">
        <v>0.15</v>
      </c>
      <c r="D11">
        <v>0.05</v>
      </c>
      <c r="E11">
        <v>4880</v>
      </c>
    </row>
    <row r="12" spans="1:11" x14ac:dyDescent="0.35">
      <c r="A12" t="s">
        <v>192</v>
      </c>
      <c r="B12">
        <v>0.8</v>
      </c>
      <c r="C12">
        <v>0.15</v>
      </c>
      <c r="D12">
        <v>0.05</v>
      </c>
      <c r="E12">
        <v>8210</v>
      </c>
    </row>
    <row r="13" spans="1:11" x14ac:dyDescent="0.35">
      <c r="A13" t="s">
        <v>193</v>
      </c>
      <c r="B13">
        <v>0.8</v>
      </c>
      <c r="C13">
        <v>0.15</v>
      </c>
      <c r="D13">
        <v>0.05</v>
      </c>
      <c r="E13">
        <v>7110</v>
      </c>
    </row>
    <row r="14" spans="1:11" x14ac:dyDescent="0.35">
      <c r="A14" t="s">
        <v>102</v>
      </c>
      <c r="B14">
        <v>0.8</v>
      </c>
      <c r="C14">
        <v>0.15</v>
      </c>
      <c r="D14">
        <v>0.05</v>
      </c>
      <c r="E14">
        <v>10800</v>
      </c>
    </row>
    <row r="15" spans="1:11" x14ac:dyDescent="0.35">
      <c r="A15" t="s">
        <v>196</v>
      </c>
      <c r="B15">
        <v>0.8</v>
      </c>
      <c r="C15">
        <v>0.15</v>
      </c>
      <c r="D15">
        <v>0.05</v>
      </c>
      <c r="E15">
        <v>6640</v>
      </c>
    </row>
    <row r="16" spans="1:11" x14ac:dyDescent="0.35">
      <c r="A16" t="s">
        <v>194</v>
      </c>
      <c r="B16">
        <v>0.8</v>
      </c>
      <c r="C16">
        <v>0.15</v>
      </c>
      <c r="D16">
        <v>0.05</v>
      </c>
      <c r="E16">
        <v>12800</v>
      </c>
    </row>
    <row r="17" spans="1:5" x14ac:dyDescent="0.35">
      <c r="A17" t="s">
        <v>195</v>
      </c>
      <c r="B17">
        <v>0.8</v>
      </c>
      <c r="C17">
        <v>0.15</v>
      </c>
      <c r="D17">
        <v>0.05</v>
      </c>
      <c r="E17">
        <v>17500</v>
      </c>
    </row>
    <row r="18" spans="1:5" x14ac:dyDescent="0.35">
      <c r="A18" t="s">
        <v>197</v>
      </c>
      <c r="B18">
        <v>1</v>
      </c>
      <c r="C18">
        <v>0</v>
      </c>
      <c r="D18">
        <v>0</v>
      </c>
      <c r="E18">
        <v>264</v>
      </c>
    </row>
  </sheetData>
  <pageMargins left="0.7" right="0.7" top="0.75" bottom="0.75" header="0.3" footer="0.3"/>
  <pageSetup orientation="portrait" r:id="rId1"/>
  <tableParts count="4">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987A-6A22-4811-88FC-D32E272661D8}">
  <dimension ref="A1:I36"/>
  <sheetViews>
    <sheetView workbookViewId="0">
      <pane ySplit="1" topLeftCell="A2" activePane="bottomLeft" state="frozen"/>
      <selection pane="bottomLeft" activeCell="I30" sqref="I30"/>
    </sheetView>
  </sheetViews>
  <sheetFormatPr defaultRowHeight="14.5" x14ac:dyDescent="0.35"/>
  <cols>
    <col min="1" max="1" width="44.81640625" customWidth="1"/>
    <col min="2" max="2" width="17.7265625" customWidth="1"/>
    <col min="3" max="3" width="23.7265625" customWidth="1"/>
    <col min="6" max="6" width="16.7265625" customWidth="1"/>
    <col min="7" max="7" width="11" bestFit="1" customWidth="1"/>
    <col min="9" max="9" width="13.26953125" customWidth="1"/>
  </cols>
  <sheetData>
    <row r="1" spans="1:9" x14ac:dyDescent="0.35">
      <c r="A1" t="s">
        <v>18</v>
      </c>
      <c r="B1" t="s">
        <v>200</v>
      </c>
      <c r="C1" t="s">
        <v>201</v>
      </c>
      <c r="D1" t="s">
        <v>114</v>
      </c>
      <c r="E1" t="s">
        <v>20</v>
      </c>
    </row>
    <row r="2" spans="1:9" x14ac:dyDescent="0.35">
      <c r="A2" t="s">
        <v>202</v>
      </c>
      <c r="B2">
        <v>146.959</v>
      </c>
      <c r="C2">
        <v>105.02</v>
      </c>
      <c r="D2">
        <v>25.09</v>
      </c>
      <c r="E2" t="s">
        <v>203</v>
      </c>
    </row>
    <row r="3" spans="1:9" x14ac:dyDescent="0.35">
      <c r="A3" t="s">
        <v>204</v>
      </c>
      <c r="B3">
        <v>136.54900000000001</v>
      </c>
      <c r="C3">
        <v>94.61</v>
      </c>
      <c r="D3">
        <v>24.93</v>
      </c>
      <c r="E3" t="s">
        <v>203</v>
      </c>
    </row>
    <row r="4" spans="1:9" x14ac:dyDescent="0.35">
      <c r="A4" t="s">
        <v>205</v>
      </c>
      <c r="B4">
        <v>140.43899999999999</v>
      </c>
      <c r="C4">
        <v>98.5</v>
      </c>
      <c r="D4">
        <v>17.25</v>
      </c>
      <c r="E4" t="s">
        <v>203</v>
      </c>
      <c r="I4" t="s">
        <v>206</v>
      </c>
    </row>
    <row r="5" spans="1:9" x14ac:dyDescent="0.35">
      <c r="A5" t="s">
        <v>207</v>
      </c>
      <c r="B5">
        <v>140.989</v>
      </c>
      <c r="C5">
        <v>99.05</v>
      </c>
      <c r="D5">
        <v>14.21</v>
      </c>
      <c r="E5" t="s">
        <v>203</v>
      </c>
      <c r="I5" t="s">
        <v>208</v>
      </c>
    </row>
    <row r="6" spans="1:9" x14ac:dyDescent="0.35">
      <c r="A6" t="s">
        <v>127</v>
      </c>
      <c r="B6">
        <v>156.93899999999999</v>
      </c>
      <c r="C6">
        <v>115</v>
      </c>
      <c r="D6">
        <v>24.8</v>
      </c>
      <c r="E6" t="s">
        <v>203</v>
      </c>
      <c r="I6" t="s">
        <v>209</v>
      </c>
    </row>
    <row r="7" spans="1:9" x14ac:dyDescent="0.35">
      <c r="A7" t="s">
        <v>130</v>
      </c>
      <c r="B7">
        <v>97.197399999999988</v>
      </c>
      <c r="C7">
        <v>73.657399999999996</v>
      </c>
      <c r="D7">
        <v>0.13900000000000001</v>
      </c>
      <c r="E7" t="s">
        <v>210</v>
      </c>
    </row>
    <row r="8" spans="1:9" x14ac:dyDescent="0.35">
      <c r="A8" t="s">
        <v>131</v>
      </c>
      <c r="B8">
        <v>97.907399999999996</v>
      </c>
      <c r="C8">
        <v>74.367399999999989</v>
      </c>
      <c r="D8">
        <v>0.13800000000000001</v>
      </c>
      <c r="E8" t="s">
        <v>210</v>
      </c>
    </row>
    <row r="9" spans="1:9" x14ac:dyDescent="0.35">
      <c r="A9" t="s">
        <v>132</v>
      </c>
      <c r="B9">
        <v>98.987400000000008</v>
      </c>
      <c r="C9">
        <v>75.447400000000002</v>
      </c>
      <c r="D9">
        <v>0.14599999999999999</v>
      </c>
      <c r="E9" t="s">
        <v>210</v>
      </c>
    </row>
    <row r="10" spans="1:9" x14ac:dyDescent="0.35">
      <c r="A10" t="s">
        <v>133</v>
      </c>
      <c r="B10">
        <v>93.800399999999996</v>
      </c>
      <c r="C10">
        <v>75.607399999999998</v>
      </c>
      <c r="D10">
        <v>0.13500000000000001</v>
      </c>
      <c r="E10" t="s">
        <v>210</v>
      </c>
    </row>
    <row r="11" spans="1:9" x14ac:dyDescent="0.35">
      <c r="A11" t="s">
        <v>134</v>
      </c>
      <c r="B11">
        <v>89.861400000000003</v>
      </c>
      <c r="C11">
        <v>63.3874</v>
      </c>
      <c r="D11">
        <v>9.1999999999999998E-2</v>
      </c>
      <c r="E11" t="s">
        <v>210</v>
      </c>
    </row>
    <row r="12" spans="1:9" x14ac:dyDescent="0.35">
      <c r="A12" t="s">
        <v>135</v>
      </c>
      <c r="B12">
        <v>92.831400000000002</v>
      </c>
      <c r="C12">
        <v>66.357399999999998</v>
      </c>
      <c r="D12">
        <v>9.0999999999999998E-2</v>
      </c>
      <c r="E12" t="s">
        <v>210</v>
      </c>
    </row>
    <row r="13" spans="1:9" x14ac:dyDescent="0.35">
      <c r="A13" t="s">
        <v>136</v>
      </c>
      <c r="B13">
        <v>103.92440000000001</v>
      </c>
      <c r="C13">
        <v>63.047400000000003</v>
      </c>
      <c r="D13">
        <v>9.6000000000000002E-2</v>
      </c>
      <c r="E13" t="s">
        <v>210</v>
      </c>
    </row>
    <row r="14" spans="1:9" x14ac:dyDescent="0.35">
      <c r="A14" t="s">
        <v>137</v>
      </c>
      <c r="B14">
        <v>108.71440000000001</v>
      </c>
      <c r="C14">
        <v>67.837400000000002</v>
      </c>
      <c r="D14">
        <v>0.1</v>
      </c>
      <c r="E14" t="s">
        <v>210</v>
      </c>
    </row>
    <row r="15" spans="1:9" x14ac:dyDescent="0.35">
      <c r="A15" t="s">
        <v>138</v>
      </c>
      <c r="B15">
        <v>106.1944</v>
      </c>
      <c r="C15">
        <v>65.317399999999992</v>
      </c>
      <c r="D15">
        <v>9.7000000000000003E-2</v>
      </c>
      <c r="E15" t="s">
        <v>210</v>
      </c>
    </row>
    <row r="16" spans="1:9" x14ac:dyDescent="0.35">
      <c r="A16" t="s">
        <v>139</v>
      </c>
      <c r="B16">
        <v>109.02439999999999</v>
      </c>
      <c r="C16">
        <v>68.14739999999999</v>
      </c>
      <c r="D16">
        <v>0.10299999999999999</v>
      </c>
      <c r="E16" t="s">
        <v>210</v>
      </c>
    </row>
    <row r="17" spans="1:5" x14ac:dyDescent="0.35">
      <c r="A17" t="s">
        <v>140</v>
      </c>
      <c r="B17">
        <v>106.43440000000001</v>
      </c>
      <c r="C17">
        <v>65.557400000000001</v>
      </c>
      <c r="D17">
        <v>0.10100000000000001</v>
      </c>
      <c r="E17" t="s">
        <v>210</v>
      </c>
    </row>
    <row r="18" spans="1:5" x14ac:dyDescent="0.35">
      <c r="A18" t="s">
        <v>141</v>
      </c>
      <c r="B18">
        <v>109.01439999999999</v>
      </c>
      <c r="C18">
        <v>68.1374</v>
      </c>
      <c r="D18">
        <v>0.10299999999999999</v>
      </c>
      <c r="E18" t="s">
        <v>210</v>
      </c>
    </row>
    <row r="19" spans="1:5" x14ac:dyDescent="0.35">
      <c r="A19" t="s">
        <v>142</v>
      </c>
      <c r="B19">
        <v>108.1174</v>
      </c>
      <c r="C19">
        <v>67.240399999999994</v>
      </c>
      <c r="D19">
        <v>0.11</v>
      </c>
      <c r="E19" t="s">
        <v>210</v>
      </c>
    </row>
    <row r="20" spans="1:5" x14ac:dyDescent="0.35">
      <c r="A20" t="s">
        <v>143</v>
      </c>
      <c r="B20">
        <v>99.493399999999994</v>
      </c>
      <c r="C20">
        <v>70.627399999999994</v>
      </c>
      <c r="D20">
        <v>0.125</v>
      </c>
      <c r="E20" t="s">
        <v>210</v>
      </c>
    </row>
    <row r="21" spans="1:5" x14ac:dyDescent="0.35">
      <c r="A21" t="s">
        <v>144</v>
      </c>
      <c r="B21">
        <v>87.850399999999993</v>
      </c>
      <c r="C21">
        <v>69.657399999999996</v>
      </c>
      <c r="D21">
        <v>0.12</v>
      </c>
      <c r="E21" t="s">
        <v>210</v>
      </c>
    </row>
    <row r="22" spans="1:5" x14ac:dyDescent="0.35">
      <c r="A22" t="s">
        <v>145</v>
      </c>
      <c r="B22">
        <v>90.820399999999992</v>
      </c>
      <c r="C22">
        <v>72.627399999999994</v>
      </c>
      <c r="D22">
        <v>0.13500000000000001</v>
      </c>
      <c r="E22" t="s">
        <v>210</v>
      </c>
    </row>
    <row r="23" spans="1:5" x14ac:dyDescent="0.35">
      <c r="A23" t="s">
        <v>146</v>
      </c>
      <c r="B23">
        <v>94.045500000000004</v>
      </c>
      <c r="C23">
        <v>53.168500000000002</v>
      </c>
      <c r="D23">
        <f>1.026*10^-3</f>
        <v>1.026E-3</v>
      </c>
      <c r="E23" t="s">
        <v>211</v>
      </c>
    </row>
    <row r="24" spans="1:5" x14ac:dyDescent="0.35">
      <c r="A24" t="s">
        <v>151</v>
      </c>
      <c r="C24">
        <v>94.445000000000007</v>
      </c>
      <c r="D24">
        <v>9950</v>
      </c>
      <c r="E24" t="s">
        <v>203</v>
      </c>
    </row>
    <row r="25" spans="1:5" x14ac:dyDescent="0.35">
      <c r="A25" t="s">
        <v>152</v>
      </c>
      <c r="C25">
        <v>89.715000000000003</v>
      </c>
      <c r="D25">
        <v>28</v>
      </c>
      <c r="E25" t="s">
        <v>203</v>
      </c>
    </row>
    <row r="26" spans="1:5" x14ac:dyDescent="0.35">
      <c r="A26" t="s">
        <v>153</v>
      </c>
      <c r="C26">
        <v>78.745000000000005</v>
      </c>
      <c r="D26">
        <v>38</v>
      </c>
      <c r="E26" t="s">
        <v>203</v>
      </c>
    </row>
    <row r="27" spans="1:5" x14ac:dyDescent="0.35">
      <c r="A27" t="s">
        <v>155</v>
      </c>
      <c r="C27">
        <v>95.367439999999988</v>
      </c>
      <c r="D27">
        <v>17.48</v>
      </c>
      <c r="E27" t="s">
        <v>203</v>
      </c>
    </row>
    <row r="28" spans="1:5" x14ac:dyDescent="0.35">
      <c r="A28" t="s">
        <v>156</v>
      </c>
      <c r="C28">
        <v>121.91500000000001</v>
      </c>
      <c r="D28">
        <v>8.25</v>
      </c>
      <c r="E28" t="s">
        <v>203</v>
      </c>
    </row>
    <row r="29" spans="1:5" x14ac:dyDescent="0.35">
      <c r="A29" t="s">
        <v>157</v>
      </c>
      <c r="C29">
        <v>115.58500000000001</v>
      </c>
      <c r="D29">
        <v>8</v>
      </c>
      <c r="E29" t="s">
        <v>203</v>
      </c>
    </row>
    <row r="30" spans="1:5" x14ac:dyDescent="0.35">
      <c r="A30" t="s">
        <v>158</v>
      </c>
      <c r="C30">
        <v>109.25500000000001</v>
      </c>
      <c r="D30">
        <v>10.39</v>
      </c>
      <c r="E30" t="s">
        <v>203</v>
      </c>
    </row>
    <row r="31" spans="1:5" x14ac:dyDescent="0.35">
      <c r="A31" s="1" t="s">
        <v>161</v>
      </c>
      <c r="C31">
        <v>52.501829999999998</v>
      </c>
      <c r="D31">
        <f>0.485 * 10^-3</f>
        <v>4.8499999999999997E-4</v>
      </c>
      <c r="E31" t="s">
        <v>211</v>
      </c>
    </row>
    <row r="32" spans="1:5" x14ac:dyDescent="0.35">
      <c r="A32" s="1" t="s">
        <v>162</v>
      </c>
      <c r="C32">
        <v>52.501829999999998</v>
      </c>
      <c r="D32">
        <f>0.655* 10^-3</f>
        <v>6.5500000000000009E-4</v>
      </c>
      <c r="E32" t="s">
        <v>211</v>
      </c>
    </row>
    <row r="33" spans="1:5" x14ac:dyDescent="0.35">
      <c r="A33" s="1" t="s">
        <v>165</v>
      </c>
      <c r="C33">
        <v>68.559349999999995</v>
      </c>
      <c r="D33">
        <v>8.4000000000000005E-2</v>
      </c>
      <c r="E33" t="s">
        <v>210</v>
      </c>
    </row>
    <row r="34" spans="1:5" x14ac:dyDescent="0.35">
      <c r="A34" s="1" t="s">
        <v>166</v>
      </c>
      <c r="C34">
        <v>73.959350000000001</v>
      </c>
      <c r="D34">
        <v>0.128</v>
      </c>
      <c r="E34" t="s">
        <v>210</v>
      </c>
    </row>
    <row r="35" spans="1:5" x14ac:dyDescent="0.35">
      <c r="A35" s="1" t="s">
        <v>167</v>
      </c>
      <c r="C35">
        <v>71.179349999999999</v>
      </c>
      <c r="D35">
        <v>0.125</v>
      </c>
      <c r="E35" t="s">
        <v>210</v>
      </c>
    </row>
    <row r="36" spans="1:5" ht="15" thickBot="1" x14ac:dyDescent="0.4">
      <c r="A36" s="2" t="s">
        <v>168</v>
      </c>
      <c r="C36">
        <v>81.669349999999994</v>
      </c>
      <c r="D36" s="3">
        <v>0.12</v>
      </c>
      <c r="E36" t="s">
        <v>210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D0F9-0C15-4433-91BC-0BBF81F41706}">
  <sheetPr>
    <pageSetUpPr fitToPage="1"/>
  </sheetPr>
  <dimension ref="A1:K45"/>
  <sheetViews>
    <sheetView showGridLines="0" workbookViewId="0">
      <selection activeCell="H13" sqref="H13"/>
    </sheetView>
  </sheetViews>
  <sheetFormatPr defaultRowHeight="14.5" x14ac:dyDescent="0.35"/>
  <cols>
    <col min="1" max="1" width="22.1796875" customWidth="1"/>
    <col min="2" max="2" width="13" customWidth="1"/>
    <col min="3" max="3" width="18.26953125" customWidth="1"/>
    <col min="4" max="4" width="20.81640625" customWidth="1"/>
    <col min="5" max="5" width="17.7265625" customWidth="1"/>
    <col min="6" max="6" width="18" customWidth="1"/>
    <col min="7" max="9" width="22.81640625" customWidth="1"/>
    <col min="10" max="10" width="22.81640625" style="27" customWidth="1"/>
    <col min="11" max="11" width="22.453125" bestFit="1" customWidth="1"/>
  </cols>
  <sheetData>
    <row r="1" spans="1:11" ht="42" customHeight="1" x14ac:dyDescent="0.35">
      <c r="A1" s="266" t="s">
        <v>12</v>
      </c>
      <c r="B1" s="267"/>
      <c r="C1" s="267"/>
      <c r="D1" s="267"/>
      <c r="E1" s="267"/>
      <c r="F1" s="267"/>
      <c r="G1" s="268"/>
    </row>
    <row r="2" spans="1:11" ht="18.5" x14ac:dyDescent="0.45">
      <c r="A2" s="36"/>
      <c r="B2" s="31"/>
      <c r="C2" s="32"/>
      <c r="D2" s="32"/>
      <c r="E2" s="32"/>
      <c r="F2" s="32"/>
      <c r="G2" s="41"/>
    </row>
    <row r="3" spans="1:11" ht="18.5" x14ac:dyDescent="0.45">
      <c r="A3" s="43" t="s">
        <v>13</v>
      </c>
      <c r="B3" s="44"/>
      <c r="C3" s="45"/>
      <c r="D3" s="45"/>
      <c r="E3" s="45"/>
      <c r="F3" s="45"/>
      <c r="G3" s="46"/>
    </row>
    <row r="4" spans="1:11" s="30" customFormat="1" ht="36" customHeight="1" x14ac:dyDescent="0.35">
      <c r="A4" s="275" t="s">
        <v>218</v>
      </c>
      <c r="B4" s="276"/>
      <c r="C4" s="276"/>
      <c r="D4" s="276"/>
      <c r="E4" s="276"/>
      <c r="F4" s="276"/>
      <c r="G4" s="277"/>
    </row>
    <row r="5" spans="1:11" s="29" customFormat="1" ht="36" customHeight="1" x14ac:dyDescent="0.35">
      <c r="A5" s="278" t="s">
        <v>220</v>
      </c>
      <c r="B5" s="276"/>
      <c r="C5" s="276"/>
      <c r="D5" s="276"/>
      <c r="E5" s="276"/>
      <c r="F5" s="276"/>
      <c r="G5" s="277"/>
    </row>
    <row r="6" spans="1:11" ht="18.5" x14ac:dyDescent="0.45">
      <c r="A6" s="36"/>
      <c r="B6" s="33"/>
      <c r="C6" s="33"/>
      <c r="D6" s="20"/>
      <c r="E6" s="20"/>
      <c r="F6" s="20"/>
      <c r="G6" s="42"/>
    </row>
    <row r="7" spans="1:11" ht="18.5" x14ac:dyDescent="0.45">
      <c r="A7" s="43" t="s">
        <v>14</v>
      </c>
      <c r="B7" s="47"/>
      <c r="C7" s="47"/>
      <c r="D7" s="45"/>
      <c r="E7" s="45"/>
      <c r="F7" s="45"/>
      <c r="G7" s="46"/>
    </row>
    <row r="8" spans="1:11" ht="18.75" customHeight="1" x14ac:dyDescent="0.35">
      <c r="A8" s="272" t="s">
        <v>15</v>
      </c>
      <c r="B8" s="273"/>
      <c r="C8" s="273"/>
      <c r="D8" s="273"/>
      <c r="E8" s="273"/>
      <c r="F8" s="273"/>
      <c r="G8" s="274"/>
      <c r="H8" s="28"/>
      <c r="I8" s="28"/>
      <c r="J8" s="28"/>
      <c r="K8" s="28"/>
    </row>
    <row r="9" spans="1:11" ht="20.25" customHeight="1" x14ac:dyDescent="0.35">
      <c r="A9" s="272" t="s">
        <v>16</v>
      </c>
      <c r="B9" s="273"/>
      <c r="C9" s="273"/>
      <c r="D9" s="273"/>
      <c r="E9" s="273"/>
      <c r="F9" s="273"/>
      <c r="G9" s="274"/>
      <c r="H9" s="28"/>
      <c r="I9" s="28"/>
      <c r="J9" s="28"/>
      <c r="K9" s="28"/>
    </row>
    <row r="10" spans="1:11" ht="38.25" customHeight="1" x14ac:dyDescent="0.35">
      <c r="A10" s="269" t="s">
        <v>17</v>
      </c>
      <c r="B10" s="270"/>
      <c r="C10" s="270"/>
      <c r="D10" s="270"/>
      <c r="E10" s="270"/>
      <c r="F10" s="270"/>
      <c r="G10" s="271"/>
      <c r="H10" s="28"/>
      <c r="I10" s="28"/>
      <c r="J10" s="28"/>
      <c r="K10" s="28"/>
    </row>
    <row r="11" spans="1:11" x14ac:dyDescent="0.35">
      <c r="A11" s="36"/>
      <c r="B11" s="20"/>
      <c r="C11" s="20"/>
      <c r="D11" s="20"/>
      <c r="E11" s="20"/>
      <c r="F11" s="20"/>
      <c r="G11" s="42"/>
    </row>
    <row r="12" spans="1:11" ht="39.75" customHeight="1" x14ac:dyDescent="0.45">
      <c r="A12" s="76" t="s">
        <v>18</v>
      </c>
      <c r="B12" s="77" t="s">
        <v>19</v>
      </c>
      <c r="C12" s="77" t="s">
        <v>20</v>
      </c>
      <c r="D12" s="77" t="s">
        <v>21</v>
      </c>
      <c r="E12" s="89" t="s">
        <v>22</v>
      </c>
      <c r="F12" s="78" t="s">
        <v>228</v>
      </c>
      <c r="G12" s="79" t="s">
        <v>23</v>
      </c>
    </row>
    <row r="13" spans="1:11" x14ac:dyDescent="0.35">
      <c r="A13" s="48"/>
      <c r="B13" s="92"/>
      <c r="C13" s="21" t="str">
        <f>IFERROR(VLOOKUP(A13,'list items (hide)'!A:E,5,FALSE),"")</f>
        <v/>
      </c>
      <c r="D13" s="25"/>
      <c r="E13" s="21" t="str">
        <f>IFERROR(IF(Table3[[#This Row],[Fuel Source]]="In State", VLOOKUP(A13,'list items (hide)'!A:C,3,FALSE), VLOOKUP(A13,'list items (hide)'!A:C,2,FALSE)),"")</f>
        <v/>
      </c>
      <c r="F13" s="22" t="str">
        <f>IFERROR(VLOOKUP(A13,'list items (hide)'!A:D,4,FALSE),"")</f>
        <v/>
      </c>
      <c r="G13" s="49" t="str">
        <f>IFERROR(Table3[[#This Row],[Fuel Qty ]]*Table3[[#This Row],[EF (KgCO2e/mmbtu)]]*Table3[[#This Row],[High Heat Value (mmbtu/fuel unit)]]/1000,"")</f>
        <v/>
      </c>
    </row>
    <row r="14" spans="1:11" x14ac:dyDescent="0.35">
      <c r="A14" s="48"/>
      <c r="B14" s="25"/>
      <c r="C14" s="21" t="str">
        <f>IFERROR(VLOOKUP(A14,'list items (hide)'!A:E,5,FALSE),"")</f>
        <v/>
      </c>
      <c r="D14" s="25"/>
      <c r="E14" s="21" t="str">
        <f>IFERROR(IF(Table3[[#This Row],[Fuel Source]]="In State", VLOOKUP(A14,'list items (hide)'!A:C,3,FALSE), VLOOKUP(A14,'list items (hide)'!A:C,2,FALSE)),"")</f>
        <v/>
      </c>
      <c r="F14" s="22" t="str">
        <f>IFERROR(VLOOKUP(A14,'list items (hide)'!A:D,4,FALSE),"")</f>
        <v/>
      </c>
      <c r="G14" s="49" t="str">
        <f>IFERROR(Table3[[#This Row],[Fuel Qty ]]*Table3[[#This Row],[EF (KgCO2e/mmbtu)]]*Table3[[#This Row],[High Heat Value (mmbtu/fuel unit)]]/1000,"")</f>
        <v/>
      </c>
    </row>
    <row r="15" spans="1:11" x14ac:dyDescent="0.35">
      <c r="A15" s="48"/>
      <c r="B15" s="25"/>
      <c r="C15" s="21" t="str">
        <f>IFERROR(VLOOKUP(A15,'list items (hide)'!A:E,5,FALSE),"")</f>
        <v/>
      </c>
      <c r="D15" s="25"/>
      <c r="E15" s="21" t="str">
        <f>IFERROR(IF(Table3[[#This Row],[Fuel Source]]="In State", VLOOKUP(A15,'list items (hide)'!A:C,3,FALSE), VLOOKUP(A15,'list items (hide)'!A:C,2,FALSE)),"")</f>
        <v/>
      </c>
      <c r="F15" s="22" t="str">
        <f>IFERROR(VLOOKUP(A15,'list items (hide)'!A:D,4,FALSE),"")</f>
        <v/>
      </c>
      <c r="G15" s="49" t="str">
        <f>IFERROR(Table3[[#This Row],[Fuel Qty ]]*Table3[[#This Row],[EF (KgCO2e/mmbtu)]]*Table3[[#This Row],[High Heat Value (mmbtu/fuel unit)]]/1000,"")</f>
        <v/>
      </c>
    </row>
    <row r="16" spans="1:11" x14ac:dyDescent="0.35">
      <c r="A16" s="48"/>
      <c r="B16" s="25"/>
      <c r="C16" s="21" t="str">
        <f>IFERROR(VLOOKUP(A16,'list items (hide)'!A:E,5,FALSE),"")</f>
        <v/>
      </c>
      <c r="D16" s="25"/>
      <c r="E16" s="21" t="str">
        <f>IFERROR(IF(Table3[[#This Row],[Fuel Source]]="In State", VLOOKUP(A16,'list items (hide)'!A:C,3,FALSE), VLOOKUP(A16,'list items (hide)'!A:C,2,FALSE)),"")</f>
        <v/>
      </c>
      <c r="F16" s="22" t="str">
        <f>IFERROR(VLOOKUP(A16,'list items (hide)'!A:D,4,FALSE),"")</f>
        <v/>
      </c>
      <c r="G16" s="49" t="str">
        <f>IFERROR(Table3[[#This Row],[Fuel Qty ]]*Table3[[#This Row],[EF (KgCO2e/mmbtu)]]*Table3[[#This Row],[High Heat Value (mmbtu/fuel unit)]]/1000,"")</f>
        <v/>
      </c>
    </row>
    <row r="17" spans="1:7" x14ac:dyDescent="0.35">
      <c r="A17" s="50"/>
      <c r="B17" s="26"/>
      <c r="C17" s="23" t="str">
        <f>IFERROR(VLOOKUP(A17,'list items (hide)'!A:E,5,FALSE),"")</f>
        <v/>
      </c>
      <c r="D17" s="25"/>
      <c r="E17" s="23" t="str">
        <f>IFERROR(IF(Table3[[#This Row],[Fuel Source]]="In State", VLOOKUP(A17,'list items (hide)'!A:C,3,FALSE), VLOOKUP(A17,'list items (hide)'!A:C,2,FALSE)),"")</f>
        <v/>
      </c>
      <c r="F17" s="24" t="str">
        <f>IFERROR(VLOOKUP(A17,'list items (hide)'!A:D,4,FALSE),"")</f>
        <v/>
      </c>
      <c r="G17" s="51" t="str">
        <f>IFERROR(Table3[[#This Row],[Fuel Qty ]]*Table3[[#This Row],[EF (KgCO2e/mmbtu)]]*Table3[[#This Row],[High Heat Value (mmbtu/fuel unit)]]/1000,"")</f>
        <v/>
      </c>
    </row>
    <row r="18" spans="1:7" x14ac:dyDescent="0.35">
      <c r="A18" s="50"/>
      <c r="B18" s="26"/>
      <c r="C18" s="23" t="str">
        <f>IFERROR(VLOOKUP(A18,'list items (hide)'!A:E,5,FALSE),"")</f>
        <v/>
      </c>
      <c r="D18" s="25"/>
      <c r="E18" s="23" t="str">
        <f>IFERROR(IF(Table3[[#This Row],[Fuel Source]]="In State", VLOOKUP(A18,'list items (hide)'!A:C,3,FALSE), VLOOKUP(A18,'list items (hide)'!A:C,2,FALSE)),"")</f>
        <v/>
      </c>
      <c r="F18" s="24" t="str">
        <f>IFERROR(VLOOKUP(A18,'list items (hide)'!A:D,4,FALSE),"")</f>
        <v/>
      </c>
      <c r="G18" s="51" t="str">
        <f>IFERROR(Table3[[#This Row],[Fuel Qty ]]*Table3[[#This Row],[EF (KgCO2e/mmbtu)]]*Table3[[#This Row],[High Heat Value (mmbtu/fuel unit)]]/1000,"")</f>
        <v/>
      </c>
    </row>
    <row r="19" spans="1:7" x14ac:dyDescent="0.35">
      <c r="A19" s="50"/>
      <c r="B19" s="26"/>
      <c r="C19" s="23" t="str">
        <f>IFERROR(VLOOKUP(A19,'list items (hide)'!A:E,5,FALSE),"")</f>
        <v/>
      </c>
      <c r="D19" s="25"/>
      <c r="E19" s="23" t="str">
        <f>IFERROR(IF(Table3[[#This Row],[Fuel Source]]="In State", VLOOKUP(A19,'list items (hide)'!A:C,3,FALSE), VLOOKUP(A19,'list items (hide)'!A:C,2,FALSE)),"")</f>
        <v/>
      </c>
      <c r="F19" s="24" t="str">
        <f>IFERROR(VLOOKUP(A19,'list items (hide)'!A:D,4,FALSE),"")</f>
        <v/>
      </c>
      <c r="G19" s="51" t="str">
        <f>IFERROR(Table3[[#This Row],[Fuel Qty ]]*Table3[[#This Row],[EF (KgCO2e/mmbtu)]]*Table3[[#This Row],[High Heat Value (mmbtu/fuel unit)]]/1000,"")</f>
        <v/>
      </c>
    </row>
    <row r="20" spans="1:7" x14ac:dyDescent="0.35">
      <c r="A20" s="50"/>
      <c r="B20" s="26"/>
      <c r="C20" s="23" t="str">
        <f>IFERROR(VLOOKUP(A20,'list items (hide)'!A:E,5,FALSE),"")</f>
        <v/>
      </c>
      <c r="D20" s="25"/>
      <c r="E20" s="23" t="str">
        <f>IFERROR(IF(Table3[[#This Row],[Fuel Source]]="In State", VLOOKUP(A20,'list items (hide)'!A:C,3,FALSE), VLOOKUP(A20,'list items (hide)'!A:C,2,FALSE)),"")</f>
        <v/>
      </c>
      <c r="F20" s="24" t="str">
        <f>IFERROR(VLOOKUP(A20,'list items (hide)'!A:D,4,FALSE),"")</f>
        <v/>
      </c>
      <c r="G20" s="51" t="str">
        <f>IFERROR(Table3[[#This Row],[Fuel Qty ]]*Table3[[#This Row],[EF (KgCO2e/mmbtu)]]*Table3[[#This Row],[High Heat Value (mmbtu/fuel unit)]]/1000,"")</f>
        <v/>
      </c>
    </row>
    <row r="21" spans="1:7" x14ac:dyDescent="0.35">
      <c r="A21" s="50"/>
      <c r="B21" s="26"/>
      <c r="C21" s="23" t="str">
        <f>IFERROR(VLOOKUP(A21,'list items (hide)'!A:E,5,FALSE),"")</f>
        <v/>
      </c>
      <c r="D21" s="25"/>
      <c r="E21" s="23" t="str">
        <f>IFERROR(IF(Table3[[#This Row],[Fuel Source]]="In State", VLOOKUP(A21,'list items (hide)'!A:C,3,FALSE), VLOOKUP(A21,'list items (hide)'!A:C,2,FALSE)),"")</f>
        <v/>
      </c>
      <c r="F21" s="24" t="str">
        <f>IFERROR(VLOOKUP(A21,'list items (hide)'!A:D,4,FALSE),"")</f>
        <v/>
      </c>
      <c r="G21" s="51" t="str">
        <f>IFERROR(Table3[[#This Row],[Fuel Qty ]]*Table3[[#This Row],[EF (KgCO2e/mmbtu)]]*Table3[[#This Row],[High Heat Value (mmbtu/fuel unit)]]/1000,"")</f>
        <v/>
      </c>
    </row>
    <row r="22" spans="1:7" x14ac:dyDescent="0.35">
      <c r="A22" s="50"/>
      <c r="B22" s="26"/>
      <c r="C22" s="23" t="str">
        <f>IFERROR(VLOOKUP(A22,'list items (hide)'!A:E,5,FALSE),"")</f>
        <v/>
      </c>
      <c r="D22" s="25"/>
      <c r="E22" s="23" t="str">
        <f>IFERROR(IF(Table3[[#This Row],[Fuel Source]]="In State", VLOOKUP(A22,'list items (hide)'!A:C,3,FALSE), VLOOKUP(A22,'list items (hide)'!A:C,2,FALSE)),"")</f>
        <v/>
      </c>
      <c r="F22" s="24" t="str">
        <f>IFERROR(VLOOKUP(A22,'list items (hide)'!A:D,4,FALSE),"")</f>
        <v/>
      </c>
      <c r="G22" s="51" t="str">
        <f>IFERROR(Table3[[#This Row],[Fuel Qty ]]*Table3[[#This Row],[EF (KgCO2e/mmbtu)]]*Table3[[#This Row],[High Heat Value (mmbtu/fuel unit)]]/1000,"")</f>
        <v/>
      </c>
    </row>
    <row r="23" spans="1:7" x14ac:dyDescent="0.35">
      <c r="A23" s="50"/>
      <c r="B23" s="26"/>
      <c r="C23" s="23" t="str">
        <f>IFERROR(VLOOKUP(A23,'list items (hide)'!A:E,5,FALSE),"")</f>
        <v/>
      </c>
      <c r="D23" s="25"/>
      <c r="E23" s="23" t="str">
        <f>IFERROR(IF(Table3[[#This Row],[Fuel Source]]="In State", VLOOKUP(A23,'list items (hide)'!A:C,3,FALSE), VLOOKUP(A23,'list items (hide)'!A:C,2,FALSE)),"")</f>
        <v/>
      </c>
      <c r="F23" s="24" t="str">
        <f>IFERROR(VLOOKUP(A23,'list items (hide)'!A:D,4,FALSE),"")</f>
        <v/>
      </c>
      <c r="G23" s="51" t="str">
        <f>IFERROR(Table3[[#This Row],[Fuel Qty ]]*Table3[[#This Row],[EF (KgCO2e/mmbtu)]]*Table3[[#This Row],[High Heat Value (mmbtu/fuel unit)]]/1000,"")</f>
        <v/>
      </c>
    </row>
    <row r="24" spans="1:7" x14ac:dyDescent="0.35">
      <c r="A24" s="50"/>
      <c r="B24" s="26"/>
      <c r="C24" s="23" t="str">
        <f>IFERROR(VLOOKUP(A24,'list items (hide)'!A:E,5,FALSE),"")</f>
        <v/>
      </c>
      <c r="D24" s="25"/>
      <c r="E24" s="23" t="str">
        <f>IFERROR(IF(Table3[[#This Row],[Fuel Source]]="In State", VLOOKUP(A24,'list items (hide)'!A:C,3,FALSE), VLOOKUP(A24,'list items (hide)'!A:C,2,FALSE)),"")</f>
        <v/>
      </c>
      <c r="F24" s="24" t="str">
        <f>IFERROR(VLOOKUP(A24,'list items (hide)'!A:D,4,FALSE),"")</f>
        <v/>
      </c>
      <c r="G24" s="51" t="str">
        <f>IFERROR(Table3[[#This Row],[Fuel Qty ]]*Table3[[#This Row],[EF (KgCO2e/mmbtu)]]*Table3[[#This Row],[High Heat Value (mmbtu/fuel unit)]]/1000,"")</f>
        <v/>
      </c>
    </row>
    <row r="25" spans="1:7" x14ac:dyDescent="0.35">
      <c r="A25" s="50"/>
      <c r="B25" s="26"/>
      <c r="C25" s="23" t="str">
        <f>IFERROR(VLOOKUP(A25,'list items (hide)'!A:E,5,FALSE),"")</f>
        <v/>
      </c>
      <c r="D25" s="25"/>
      <c r="E25" s="23" t="str">
        <f>IFERROR(IF(Table3[[#This Row],[Fuel Source]]="In State", VLOOKUP(A25,'list items (hide)'!A:C,3,FALSE), VLOOKUP(A25,'list items (hide)'!A:C,2,FALSE)),"")</f>
        <v/>
      </c>
      <c r="F25" s="24" t="str">
        <f>IFERROR(VLOOKUP(A25,'list items (hide)'!A:D,4,FALSE),"")</f>
        <v/>
      </c>
      <c r="G25" s="51" t="str">
        <f>IFERROR(Table3[[#This Row],[Fuel Qty ]]*Table3[[#This Row],[EF (KgCO2e/mmbtu)]]*Table3[[#This Row],[High Heat Value (mmbtu/fuel unit)]]/1000,"")</f>
        <v/>
      </c>
    </row>
    <row r="26" spans="1:7" x14ac:dyDescent="0.35">
      <c r="A26" s="50"/>
      <c r="B26" s="26"/>
      <c r="C26" s="23" t="str">
        <f>IFERROR(VLOOKUP(A26,'list items (hide)'!A:E,5,FALSE),"")</f>
        <v/>
      </c>
      <c r="D26" s="25"/>
      <c r="E26" s="23" t="str">
        <f>IFERROR(IF(Table3[[#This Row],[Fuel Source]]="In State", VLOOKUP(A26,'list items (hide)'!A:C,3,FALSE), VLOOKUP(A26,'list items (hide)'!A:C,2,FALSE)),"")</f>
        <v/>
      </c>
      <c r="F26" s="24" t="str">
        <f>IFERROR(VLOOKUP(A26,'list items (hide)'!A:D,4,FALSE),"")</f>
        <v/>
      </c>
      <c r="G26" s="51" t="str">
        <f>IFERROR(Table3[[#This Row],[Fuel Qty ]]*Table3[[#This Row],[EF (KgCO2e/mmbtu)]]*Table3[[#This Row],[High Heat Value (mmbtu/fuel unit)]]/1000,"")</f>
        <v/>
      </c>
    </row>
    <row r="27" spans="1:7" x14ac:dyDescent="0.35">
      <c r="A27" s="50"/>
      <c r="B27" s="26"/>
      <c r="C27" s="23" t="str">
        <f>IFERROR(VLOOKUP(A27,'list items (hide)'!A:E,5,FALSE),"")</f>
        <v/>
      </c>
      <c r="D27" s="25"/>
      <c r="E27" s="23" t="str">
        <f>IFERROR(IF(Table3[[#This Row],[Fuel Source]]="In State", VLOOKUP(A27,'list items (hide)'!A:C,3,FALSE), VLOOKUP(A27,'list items (hide)'!A:C,2,FALSE)),"")</f>
        <v/>
      </c>
      <c r="F27" s="24" t="str">
        <f>IFERROR(VLOOKUP(A27,'list items (hide)'!A:D,4,FALSE),"")</f>
        <v/>
      </c>
      <c r="G27" s="51" t="str">
        <f>IFERROR(Table3[[#This Row],[Fuel Qty ]]*Table3[[#This Row],[EF (KgCO2e/mmbtu)]]*Table3[[#This Row],[High Heat Value (mmbtu/fuel unit)]]/1000,"")</f>
        <v/>
      </c>
    </row>
    <row r="28" spans="1:7" x14ac:dyDescent="0.35">
      <c r="A28" s="50"/>
      <c r="B28" s="26"/>
      <c r="C28" s="23" t="str">
        <f>IFERROR(VLOOKUP(A28,'list items (hide)'!A:E,5,FALSE),"")</f>
        <v/>
      </c>
      <c r="D28" s="25"/>
      <c r="E28" s="23" t="str">
        <f>IFERROR(IF(Table3[[#This Row],[Fuel Source]]="In State", VLOOKUP(A28,'list items (hide)'!A:C,3,FALSE), VLOOKUP(A28,'list items (hide)'!A:C,2,FALSE)),"")</f>
        <v/>
      </c>
      <c r="F28" s="24" t="str">
        <f>IFERROR(VLOOKUP(A28,'list items (hide)'!A:D,4,FALSE),"")</f>
        <v/>
      </c>
      <c r="G28" s="51" t="str">
        <f>IFERROR(Table3[[#This Row],[Fuel Qty ]]*Table3[[#This Row],[EF (KgCO2e/mmbtu)]]*Table3[[#This Row],[High Heat Value (mmbtu/fuel unit)]]/1000,"")</f>
        <v/>
      </c>
    </row>
    <row r="29" spans="1:7" x14ac:dyDescent="0.35">
      <c r="A29" s="50"/>
      <c r="B29" s="26"/>
      <c r="C29" s="23" t="str">
        <f>IFERROR(VLOOKUP(A29,'list items (hide)'!A:E,5,FALSE),"")</f>
        <v/>
      </c>
      <c r="D29" s="25"/>
      <c r="E29" s="23" t="str">
        <f>IFERROR(IF(Table3[[#This Row],[Fuel Source]]="In State", VLOOKUP(A29,'list items (hide)'!A:C,3,FALSE), VLOOKUP(A29,'list items (hide)'!A:C,2,FALSE)),"")</f>
        <v/>
      </c>
      <c r="F29" s="24" t="str">
        <f>IFERROR(VLOOKUP(A29,'list items (hide)'!A:D,4,FALSE),"")</f>
        <v/>
      </c>
      <c r="G29" s="51" t="str">
        <f>IFERROR(Table3[[#This Row],[Fuel Qty ]]*Table3[[#This Row],[EF (KgCO2e/mmbtu)]]*Table3[[#This Row],[High Heat Value (mmbtu/fuel unit)]]/1000,"")</f>
        <v/>
      </c>
    </row>
    <row r="30" spans="1:7" x14ac:dyDescent="0.35">
      <c r="A30" s="50"/>
      <c r="B30" s="26"/>
      <c r="C30" s="23" t="str">
        <f>IFERROR(VLOOKUP(A30,'list items (hide)'!A:E,5,FALSE),"")</f>
        <v/>
      </c>
      <c r="D30" s="25"/>
      <c r="E30" s="23" t="str">
        <f>IFERROR(IF(Table3[[#This Row],[Fuel Source]]="In State", VLOOKUP(A30,'list items (hide)'!A:C,3,FALSE), VLOOKUP(A30,'list items (hide)'!A:C,2,FALSE)),"")</f>
        <v/>
      </c>
      <c r="F30" s="24" t="str">
        <f>IFERROR(VLOOKUP(A30,'list items (hide)'!A:D,4,FALSE),"")</f>
        <v/>
      </c>
      <c r="G30" s="51" t="str">
        <f>IFERROR(Table3[[#This Row],[Fuel Qty ]]*Table3[[#This Row],[EF (KgCO2e/mmbtu)]]*Table3[[#This Row],[High Heat Value (mmbtu/fuel unit)]]/1000,"")</f>
        <v/>
      </c>
    </row>
    <row r="31" spans="1:7" x14ac:dyDescent="0.35">
      <c r="A31" s="50"/>
      <c r="B31" s="26"/>
      <c r="C31" s="23" t="str">
        <f>IFERROR(VLOOKUP(A31,'list items (hide)'!A:E,5,FALSE),"")</f>
        <v/>
      </c>
      <c r="D31" s="25"/>
      <c r="E31" s="23" t="str">
        <f>IFERROR(IF(Table3[[#This Row],[Fuel Source]]="In State", VLOOKUP(A31,'list items (hide)'!A:C,3,FALSE), VLOOKUP(A31,'list items (hide)'!A:C,2,FALSE)),"")</f>
        <v/>
      </c>
      <c r="F31" s="24" t="str">
        <f>IFERROR(VLOOKUP(A31,'list items (hide)'!A:D,4,FALSE),"")</f>
        <v/>
      </c>
      <c r="G31" s="51" t="str">
        <f>IFERROR(Table3[[#This Row],[Fuel Qty ]]*Table3[[#This Row],[EF (KgCO2e/mmbtu)]]*Table3[[#This Row],[High Heat Value (mmbtu/fuel unit)]]/1000,"")</f>
        <v/>
      </c>
    </row>
    <row r="32" spans="1:7" x14ac:dyDescent="0.35">
      <c r="A32" s="50"/>
      <c r="B32" s="26"/>
      <c r="C32" s="23" t="str">
        <f>IFERROR(VLOOKUP(A32,'list items (hide)'!A:E,5,FALSE),"")</f>
        <v/>
      </c>
      <c r="D32" s="25"/>
      <c r="E32" s="23" t="str">
        <f>IFERROR(IF(Table3[[#This Row],[Fuel Source]]="In State", VLOOKUP(A32,'list items (hide)'!A:C,3,FALSE), VLOOKUP(A32,'list items (hide)'!A:C,2,FALSE)),"")</f>
        <v/>
      </c>
      <c r="F32" s="24" t="str">
        <f>IFERROR(VLOOKUP(A32,'list items (hide)'!A:D,4,FALSE),"")</f>
        <v/>
      </c>
      <c r="G32" s="51" t="str">
        <f>IFERROR(Table3[[#This Row],[Fuel Qty ]]*Table3[[#This Row],[EF (KgCO2e/mmbtu)]]*Table3[[#This Row],[High Heat Value (mmbtu/fuel unit)]]/1000,"")</f>
        <v/>
      </c>
    </row>
    <row r="33" spans="1:7" x14ac:dyDescent="0.35">
      <c r="A33" s="50"/>
      <c r="B33" s="26"/>
      <c r="C33" s="23" t="str">
        <f>IFERROR(VLOOKUP(A33,'list items (hide)'!A:E,5,FALSE),"")</f>
        <v/>
      </c>
      <c r="D33" s="25"/>
      <c r="E33" s="23" t="str">
        <f>IFERROR(IF(Table3[[#This Row],[Fuel Source]]="In State", VLOOKUP(A33,'list items (hide)'!A:C,3,FALSE), VLOOKUP(A33,'list items (hide)'!A:C,2,FALSE)),"")</f>
        <v/>
      </c>
      <c r="F33" s="24" t="str">
        <f>IFERROR(VLOOKUP(A33,'list items (hide)'!A:D,4,FALSE),"")</f>
        <v/>
      </c>
      <c r="G33" s="51" t="str">
        <f>IFERROR(Table3[[#This Row],[Fuel Qty ]]*Table3[[#This Row],[EF (KgCO2e/mmbtu)]]*Table3[[#This Row],[High Heat Value (mmbtu/fuel unit)]]/1000,"")</f>
        <v/>
      </c>
    </row>
    <row r="34" spans="1:7" x14ac:dyDescent="0.35">
      <c r="A34" s="50"/>
      <c r="B34" s="26"/>
      <c r="C34" s="23" t="str">
        <f>IFERROR(VLOOKUP(A34,'list items (hide)'!A:E,5,FALSE),"")</f>
        <v/>
      </c>
      <c r="D34" s="25"/>
      <c r="E34" s="23" t="str">
        <f>IFERROR(IF(Table3[[#This Row],[Fuel Source]]="In State", VLOOKUP(A34,'list items (hide)'!A:C,3,FALSE), VLOOKUP(A34,'list items (hide)'!A:C,2,FALSE)),"")</f>
        <v/>
      </c>
      <c r="F34" s="24" t="str">
        <f>IFERROR(VLOOKUP(A34,'list items (hide)'!A:D,4,FALSE),"")</f>
        <v/>
      </c>
      <c r="G34" s="51" t="str">
        <f>IFERROR(Table3[[#This Row],[Fuel Qty ]]*Table3[[#This Row],[EF (KgCO2e/mmbtu)]]*Table3[[#This Row],[High Heat Value (mmbtu/fuel unit)]]/1000,"")</f>
        <v/>
      </c>
    </row>
    <row r="35" spans="1:7" x14ac:dyDescent="0.35">
      <c r="A35" s="50"/>
      <c r="B35" s="26"/>
      <c r="C35" s="23" t="str">
        <f>IFERROR(VLOOKUP(A35,'list items (hide)'!A:E,5,FALSE),"")</f>
        <v/>
      </c>
      <c r="D35" s="25"/>
      <c r="E35" s="23" t="str">
        <f>IFERROR(IF(Table3[[#This Row],[Fuel Source]]="In State", VLOOKUP(A35,'list items (hide)'!A:C,3,FALSE), VLOOKUP(A35,'list items (hide)'!A:C,2,FALSE)),"")</f>
        <v/>
      </c>
      <c r="F35" s="24" t="str">
        <f>IFERROR(VLOOKUP(A35,'list items (hide)'!A:D,4,FALSE),"")</f>
        <v/>
      </c>
      <c r="G35" s="51" t="str">
        <f>IFERROR(Table3[[#This Row],[Fuel Qty ]]*Table3[[#This Row],[EF (KgCO2e/mmbtu)]]*Table3[[#This Row],[High Heat Value (mmbtu/fuel unit)]]/1000,"")</f>
        <v/>
      </c>
    </row>
    <row r="36" spans="1:7" x14ac:dyDescent="0.35">
      <c r="A36" s="50"/>
      <c r="B36" s="26"/>
      <c r="C36" s="23" t="str">
        <f>IFERROR(VLOOKUP(A36,'list items (hide)'!A:E,5,FALSE),"")</f>
        <v/>
      </c>
      <c r="D36" s="25"/>
      <c r="E36" s="23" t="str">
        <f>IFERROR(IF(Table3[[#This Row],[Fuel Source]]="In State", VLOOKUP(A36,'list items (hide)'!A:C,3,FALSE), VLOOKUP(A36,'list items (hide)'!A:C,2,FALSE)),"")</f>
        <v/>
      </c>
      <c r="F36" s="24" t="str">
        <f>IFERROR(VLOOKUP(A36,'list items (hide)'!A:D,4,FALSE),"")</f>
        <v/>
      </c>
      <c r="G36" s="51" t="str">
        <f>IFERROR(Table3[[#This Row],[Fuel Qty ]]*Table3[[#This Row],[EF (KgCO2e/mmbtu)]]*Table3[[#This Row],[High Heat Value (mmbtu/fuel unit)]]/1000,"")</f>
        <v/>
      </c>
    </row>
    <row r="37" spans="1:7" x14ac:dyDescent="0.35">
      <c r="A37" s="50"/>
      <c r="B37" s="26"/>
      <c r="C37" s="23" t="str">
        <f>IFERROR(VLOOKUP(A37,'list items (hide)'!A:E,5,FALSE),"")</f>
        <v/>
      </c>
      <c r="D37" s="25"/>
      <c r="E37" s="23" t="str">
        <f>IFERROR(IF(Table3[[#This Row],[Fuel Source]]="In State", VLOOKUP(A37,'list items (hide)'!A:C,3,FALSE), VLOOKUP(A37,'list items (hide)'!A:C,2,FALSE)),"")</f>
        <v/>
      </c>
      <c r="F37" s="24" t="str">
        <f>IFERROR(VLOOKUP(A37,'list items (hide)'!A:D,4,FALSE),"")</f>
        <v/>
      </c>
      <c r="G37" s="51" t="str">
        <f>IFERROR(Table3[[#This Row],[Fuel Qty ]]*Table3[[#This Row],[EF (KgCO2e/mmbtu)]]*Table3[[#This Row],[High Heat Value (mmbtu/fuel unit)]]/1000,"")</f>
        <v/>
      </c>
    </row>
    <row r="38" spans="1:7" x14ac:dyDescent="0.35">
      <c r="A38" s="50"/>
      <c r="B38" s="26"/>
      <c r="C38" s="23" t="str">
        <f>IFERROR(VLOOKUP(A38,'list items (hide)'!A:E,5,FALSE),"")</f>
        <v/>
      </c>
      <c r="D38" s="25"/>
      <c r="E38" s="23" t="str">
        <f>IFERROR(IF(Table3[[#This Row],[Fuel Source]]="In State", VLOOKUP(A38,'list items (hide)'!A:C,3,FALSE), VLOOKUP(A38,'list items (hide)'!A:C,2,FALSE)),"")</f>
        <v/>
      </c>
      <c r="F38" s="24" t="str">
        <f>IFERROR(VLOOKUP(A38,'list items (hide)'!A:D,4,FALSE),"")</f>
        <v/>
      </c>
      <c r="G38" s="51" t="str">
        <f>IFERROR(Table3[[#This Row],[Fuel Qty ]]*Table3[[#This Row],[EF (KgCO2e/mmbtu)]]*Table3[[#This Row],[High Heat Value (mmbtu/fuel unit)]]/1000,"")</f>
        <v/>
      </c>
    </row>
    <row r="39" spans="1:7" x14ac:dyDescent="0.35">
      <c r="A39" s="50"/>
      <c r="B39" s="26"/>
      <c r="C39" s="23" t="str">
        <f>IFERROR(VLOOKUP(A39,'list items (hide)'!A:E,5,FALSE),"")</f>
        <v/>
      </c>
      <c r="D39" s="25"/>
      <c r="E39" s="23" t="str">
        <f>IFERROR(IF(Table3[[#This Row],[Fuel Source]]="In State", VLOOKUP(A39,'list items (hide)'!A:C,3,FALSE), VLOOKUP(A39,'list items (hide)'!A:C,2,FALSE)),"")</f>
        <v/>
      </c>
      <c r="F39" s="24" t="str">
        <f>IFERROR(VLOOKUP(A39,'list items (hide)'!A:D,4,FALSE),"")</f>
        <v/>
      </c>
      <c r="G39" s="51" t="str">
        <f>IFERROR(Table3[[#This Row],[Fuel Qty ]]*Table3[[#This Row],[EF (KgCO2e/mmbtu)]]*Table3[[#This Row],[High Heat Value (mmbtu/fuel unit)]]/1000,"")</f>
        <v/>
      </c>
    </row>
    <row r="40" spans="1:7" x14ac:dyDescent="0.35">
      <c r="A40" s="50"/>
      <c r="B40" s="26"/>
      <c r="C40" s="23" t="str">
        <f>IFERROR(VLOOKUP(A40,'list items (hide)'!A:E,5,FALSE),"")</f>
        <v/>
      </c>
      <c r="D40" s="25"/>
      <c r="E40" s="23" t="str">
        <f>IFERROR(IF(Table3[[#This Row],[Fuel Source]]="In State", VLOOKUP(A40,'list items (hide)'!A:C,3,FALSE), VLOOKUP(A40,'list items (hide)'!A:C,2,FALSE)),"")</f>
        <v/>
      </c>
      <c r="F40" s="24" t="str">
        <f>IFERROR(VLOOKUP(A40,'list items (hide)'!A:D,4,FALSE),"")</f>
        <v/>
      </c>
      <c r="G40" s="51" t="str">
        <f>IFERROR(Table3[[#This Row],[Fuel Qty ]]*Table3[[#This Row],[EF (KgCO2e/mmbtu)]]*Table3[[#This Row],[High Heat Value (mmbtu/fuel unit)]]/1000,"")</f>
        <v/>
      </c>
    </row>
    <row r="41" spans="1:7" x14ac:dyDescent="0.35">
      <c r="A41" s="50"/>
      <c r="B41" s="26"/>
      <c r="C41" s="23" t="str">
        <f>IFERROR(VLOOKUP(A41,'list items (hide)'!A:E,5,FALSE),"")</f>
        <v/>
      </c>
      <c r="D41" s="25"/>
      <c r="E41" s="23" t="str">
        <f>IFERROR(IF(Table3[[#This Row],[Fuel Source]]="In State", VLOOKUP(A41,'list items (hide)'!A:C,3,FALSE), VLOOKUP(A41,'list items (hide)'!A:C,2,FALSE)),"")</f>
        <v/>
      </c>
      <c r="F41" s="24" t="str">
        <f>IFERROR(VLOOKUP(A41,'list items (hide)'!A:D,4,FALSE),"")</f>
        <v/>
      </c>
      <c r="G41" s="51" t="str">
        <f>IFERROR(Table3[[#This Row],[Fuel Qty ]]*Table3[[#This Row],[EF (KgCO2e/mmbtu)]]*Table3[[#This Row],[High Heat Value (mmbtu/fuel unit)]]/1000,"")</f>
        <v/>
      </c>
    </row>
    <row r="42" spans="1:7" x14ac:dyDescent="0.35">
      <c r="A42" s="50"/>
      <c r="B42" s="26"/>
      <c r="C42" s="23" t="str">
        <f>IFERROR(VLOOKUP(A42,'list items (hide)'!A:E,5,FALSE),"")</f>
        <v/>
      </c>
      <c r="D42" s="25"/>
      <c r="E42" s="23" t="str">
        <f>IFERROR(IF(Table3[[#This Row],[Fuel Source]]="In State", VLOOKUP(A42,'list items (hide)'!A:C,3,FALSE), VLOOKUP(A42,'list items (hide)'!A:C,2,FALSE)),"")</f>
        <v/>
      </c>
      <c r="F42" s="24" t="str">
        <f>IFERROR(VLOOKUP(A42,'list items (hide)'!A:D,4,FALSE),"")</f>
        <v/>
      </c>
      <c r="G42" s="51" t="str">
        <f>IFERROR(Table3[[#This Row],[Fuel Qty ]]*Table3[[#This Row],[EF (KgCO2e/mmbtu)]]*Table3[[#This Row],[High Heat Value (mmbtu/fuel unit)]]/1000,"")</f>
        <v/>
      </c>
    </row>
    <row r="43" spans="1:7" x14ac:dyDescent="0.35">
      <c r="A43" s="50"/>
      <c r="B43" s="26"/>
      <c r="C43" s="23" t="str">
        <f>IFERROR(VLOOKUP(A43,'list items (hide)'!A:E,5,FALSE),"")</f>
        <v/>
      </c>
      <c r="D43" s="26"/>
      <c r="E43" s="23" t="str">
        <f>IFERROR(IF(Table3[[#This Row],[Fuel Source]]="In State", VLOOKUP(A43,'list items (hide)'!A:C,3,FALSE), VLOOKUP(A43,'list items (hide)'!A:C,2,FALSE)),"")</f>
        <v/>
      </c>
      <c r="F43" s="24" t="str">
        <f>IFERROR(VLOOKUP(A43,'list items (hide)'!A:D,4,FALSE),"")</f>
        <v/>
      </c>
      <c r="G43" s="51" t="str">
        <f>IFERROR(Table3[[#This Row],[Fuel Qty ]]*Table3[[#This Row],[EF (KgCO2e/mmbtu)]]*Table3[[#This Row],[High Heat Value (mmbtu/fuel unit)]]/1000,"")</f>
        <v/>
      </c>
    </row>
    <row r="44" spans="1:7" ht="16.5" x14ac:dyDescent="0.45">
      <c r="A44" s="36"/>
      <c r="B44" s="20"/>
      <c r="C44" s="20"/>
      <c r="D44" s="20"/>
      <c r="E44" s="34"/>
      <c r="F44" s="35" t="s">
        <v>24</v>
      </c>
      <c r="G44" s="37">
        <f>SUMIF(Table3[Emissions CO2e (Mt)], "&gt;0")</f>
        <v>0</v>
      </c>
    </row>
    <row r="45" spans="1:7" ht="15" thickBot="1" x14ac:dyDescent="0.4">
      <c r="A45" s="38"/>
      <c r="B45" s="39"/>
      <c r="C45" s="39"/>
      <c r="D45" s="39"/>
      <c r="E45" s="39"/>
      <c r="F45" s="39"/>
      <c r="G45" s="40"/>
    </row>
  </sheetData>
  <sheetProtection algorithmName="SHA-512" hashValue="1rY2Ik5LNcErvz5uL0MbGUBmflhbiCpWktwSPBOiNcn6uGde85JzMkwaZZ7mG1cGAHp4pYdj8/dClj4mcgf+6Q==" saltValue="BJdELv9RaCnTunrXBfpZSw==" spinCount="100000" sheet="1" insertRows="0"/>
  <mergeCells count="6">
    <mergeCell ref="A1:G1"/>
    <mergeCell ref="A10:G10"/>
    <mergeCell ref="A8:G8"/>
    <mergeCell ref="A9:G9"/>
    <mergeCell ref="A4:G4"/>
    <mergeCell ref="A5:G5"/>
  </mergeCells>
  <dataValidations count="2">
    <dataValidation type="list" allowBlank="1" showInputMessage="1" showErrorMessage="1" sqref="N14" xr:uid="{6E014C06-D477-4A96-AA7C-08E58B2A1783}">
      <formula1>Fuel_Type</formula1>
    </dataValidation>
    <dataValidation type="list" allowBlank="1" showInputMessage="1" showErrorMessage="1" sqref="D13:D43" xr:uid="{2B24099D-C250-46B4-B139-26EBCDB362B1}">
      <formula1>Emissions_Type</formula1>
    </dataValidation>
  </dataValidations>
  <pageMargins left="0.7" right="0.7" top="0.75" bottom="0.75" header="0.3" footer="0.3"/>
  <pageSetup fitToHeight="0" orientation="portrait"/>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D80314FD-A63A-41CC-947A-C6BD8016E484}">
          <x14:formula1>
            <xm:f>'list items (hide)'!$A$2:$A$36</xm:f>
          </x14:formula1>
          <xm:sqref>A13 A14 A15:A18 A20:A43</xm:sqref>
        </x14:dataValidation>
        <x14:dataValidation type="list" allowBlank="1" showInputMessage="1" showErrorMessage="1" errorTitle="Invalid Entry" error="Please select a fuel from the list. If your fuel is not in the list choose the most similar fuel for estimation purposes. " xr:uid="{71948402-6FF3-471A-831B-C04E8D44DB39}">
          <x14:formula1>
            <xm:f>'list items (hide)'!$A$2:$A$36</xm:f>
          </x14:formula1>
          <xm:sqref>A19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EC08-9B7B-4706-A101-6FB21A5D5128}">
  <dimension ref="A1:I93"/>
  <sheetViews>
    <sheetView showGridLines="0" topLeftCell="A55" workbookViewId="0">
      <selection activeCell="D91" sqref="D91:F91"/>
    </sheetView>
  </sheetViews>
  <sheetFormatPr defaultRowHeight="14.5" x14ac:dyDescent="0.35"/>
  <cols>
    <col min="1" max="1" width="21.1796875" customWidth="1"/>
    <col min="2" max="2" width="39.26953125" customWidth="1"/>
    <col min="3" max="3" width="17.453125" customWidth="1"/>
    <col min="4" max="4" width="9.26953125" customWidth="1"/>
    <col min="6" max="6" width="9.26953125" customWidth="1"/>
  </cols>
  <sheetData>
    <row r="1" spans="1:9" ht="26" x14ac:dyDescent="0.6">
      <c r="A1" s="284" t="s">
        <v>25</v>
      </c>
      <c r="B1" s="284"/>
      <c r="C1" s="284"/>
      <c r="D1" s="284"/>
      <c r="E1" s="284"/>
      <c r="F1" s="284"/>
      <c r="G1" s="284"/>
    </row>
    <row r="2" spans="1:9" ht="14.5" customHeight="1" x14ac:dyDescent="0.6">
      <c r="A2" s="133"/>
      <c r="B2" s="134"/>
      <c r="C2" s="134"/>
      <c r="D2" s="134"/>
      <c r="E2" s="134"/>
      <c r="F2" s="134"/>
      <c r="G2" s="135"/>
    </row>
    <row r="3" spans="1:9" ht="18.5" x14ac:dyDescent="0.45">
      <c r="A3" s="63" t="s">
        <v>13</v>
      </c>
      <c r="B3" s="64"/>
      <c r="C3" s="61"/>
      <c r="D3" s="61"/>
      <c r="E3" s="61"/>
      <c r="F3" s="61"/>
      <c r="G3" s="65"/>
    </row>
    <row r="4" spans="1:9" ht="33" customHeight="1" x14ac:dyDescent="0.35">
      <c r="A4" s="282" t="s">
        <v>218</v>
      </c>
      <c r="B4" s="282"/>
      <c r="C4" s="282"/>
      <c r="D4" s="282"/>
      <c r="E4" s="282"/>
      <c r="F4" s="282"/>
      <c r="G4" s="282"/>
      <c r="I4" s="60"/>
    </row>
    <row r="5" spans="1:9" ht="48" customHeight="1" x14ac:dyDescent="0.35">
      <c r="A5" s="283" t="s">
        <v>26</v>
      </c>
      <c r="B5" s="283"/>
      <c r="C5" s="283"/>
      <c r="D5" s="283"/>
      <c r="E5" s="283"/>
      <c r="F5" s="283"/>
      <c r="G5" s="283"/>
    </row>
    <row r="6" spans="1:9" ht="15" customHeight="1" x14ac:dyDescent="0.35">
      <c r="A6" s="84"/>
      <c r="B6" s="85"/>
      <c r="C6" s="85"/>
      <c r="D6" s="85"/>
      <c r="E6" s="85"/>
      <c r="F6" s="85"/>
      <c r="G6" s="86"/>
    </row>
    <row r="7" spans="1:9" ht="15" customHeight="1" x14ac:dyDescent="0.35">
      <c r="A7" s="63" t="s">
        <v>14</v>
      </c>
      <c r="B7" s="74"/>
      <c r="C7" s="74"/>
      <c r="D7" s="74"/>
      <c r="E7" s="74"/>
      <c r="F7" s="74"/>
      <c r="G7" s="75"/>
    </row>
    <row r="8" spans="1:9" ht="15" customHeight="1" x14ac:dyDescent="0.35">
      <c r="A8" s="285" t="s">
        <v>27</v>
      </c>
      <c r="B8" s="285"/>
      <c r="C8" s="285"/>
      <c r="D8" s="285"/>
      <c r="E8" s="285"/>
      <c r="F8" s="285"/>
      <c r="G8" s="285"/>
    </row>
    <row r="9" spans="1:9" ht="33" customHeight="1" x14ac:dyDescent="0.35">
      <c r="A9" s="286" t="s">
        <v>28</v>
      </c>
      <c r="B9" s="287"/>
      <c r="C9" s="287"/>
      <c r="D9" s="287"/>
      <c r="E9" s="287"/>
      <c r="F9" s="287"/>
      <c r="G9" s="288"/>
    </row>
    <row r="10" spans="1:9" ht="17.25" customHeight="1" x14ac:dyDescent="0.35">
      <c r="A10" s="286" t="s">
        <v>224</v>
      </c>
      <c r="B10" s="299"/>
      <c r="C10" s="299"/>
      <c r="D10" s="299"/>
      <c r="E10" s="299"/>
      <c r="F10" s="299"/>
      <c r="G10" s="288"/>
    </row>
    <row r="11" spans="1:9" ht="14.5" customHeight="1" x14ac:dyDescent="0.35">
      <c r="A11" s="302" t="s">
        <v>29</v>
      </c>
      <c r="B11" s="261"/>
      <c r="C11" s="261"/>
      <c r="D11" s="261"/>
      <c r="E11" s="261"/>
      <c r="F11" s="261"/>
      <c r="G11" s="303"/>
    </row>
    <row r="12" spans="1:9" ht="18" customHeight="1" x14ac:dyDescent="0.35">
      <c r="A12" s="82"/>
      <c r="B12" s="83"/>
      <c r="C12" s="83"/>
      <c r="D12" s="87"/>
      <c r="E12" s="87"/>
      <c r="F12" s="87"/>
      <c r="G12" s="88"/>
    </row>
    <row r="13" spans="1:9" ht="20.25" customHeight="1" x14ac:dyDescent="0.35">
      <c r="A13" s="297" t="s">
        <v>30</v>
      </c>
      <c r="B13" s="298"/>
      <c r="C13" s="298"/>
      <c r="D13" s="299"/>
      <c r="E13" s="299"/>
      <c r="F13" s="299"/>
      <c r="G13" s="229"/>
    </row>
    <row r="14" spans="1:9" ht="30" customHeight="1" x14ac:dyDescent="0.35">
      <c r="A14" s="227"/>
      <c r="B14" s="228"/>
      <c r="C14" s="228"/>
      <c r="D14" s="228"/>
      <c r="E14" s="228"/>
      <c r="F14" s="228"/>
      <c r="G14" s="229"/>
    </row>
    <row r="15" spans="1:9" ht="30" customHeight="1" x14ac:dyDescent="0.45">
      <c r="A15" s="158" t="s">
        <v>31</v>
      </c>
      <c r="B15" s="228"/>
      <c r="C15" s="228"/>
      <c r="D15" s="228"/>
      <c r="E15" s="228"/>
      <c r="F15" s="228"/>
      <c r="G15" s="229"/>
    </row>
    <row r="16" spans="1:9" ht="30" customHeight="1" x14ac:dyDescent="0.45">
      <c r="A16" s="158" t="s">
        <v>32</v>
      </c>
      <c r="B16" s="226"/>
      <c r="C16" s="226"/>
      <c r="D16" s="226"/>
      <c r="E16" s="226"/>
      <c r="F16" s="228"/>
      <c r="G16" s="229"/>
    </row>
    <row r="17" spans="1:8" ht="32.25" customHeight="1" x14ac:dyDescent="0.35">
      <c r="A17" s="300" t="s">
        <v>222</v>
      </c>
      <c r="B17" s="270"/>
      <c r="C17" s="270"/>
      <c r="D17" s="270"/>
      <c r="E17" s="270"/>
      <c r="F17" s="270"/>
      <c r="G17" s="301"/>
    </row>
    <row r="18" spans="1:8" ht="15" customHeight="1" x14ac:dyDescent="0.35">
      <c r="A18" s="70"/>
      <c r="B18" s="80"/>
      <c r="C18" s="80"/>
      <c r="D18" s="80"/>
      <c r="E18" s="80"/>
      <c r="F18" s="80"/>
      <c r="G18" s="81"/>
    </row>
    <row r="19" spans="1:8" ht="33.65" customHeight="1" x14ac:dyDescent="0.35">
      <c r="A19" s="159" t="s">
        <v>33</v>
      </c>
      <c r="B19" s="67" t="s">
        <v>34</v>
      </c>
      <c r="C19" s="68" t="s">
        <v>35</v>
      </c>
      <c r="D19" s="57"/>
      <c r="E19" s="20"/>
      <c r="F19" s="57"/>
      <c r="G19" s="58"/>
      <c r="H19" s="19"/>
    </row>
    <row r="20" spans="1:8" x14ac:dyDescent="0.35">
      <c r="A20" s="12">
        <v>1960</v>
      </c>
      <c r="B20" s="90"/>
      <c r="C20" s="66">
        <f t="shared" ref="C20:C51" si="0">B20*MCF*DOC*DOCF*F*(16/12)*(EXP(-k*($A$86-A20-1))-EXP(-k*($A$86-A20)))</f>
        <v>0</v>
      </c>
      <c r="D20" s="20"/>
      <c r="E20" s="53" t="s">
        <v>36</v>
      </c>
      <c r="F20" s="54">
        <v>1</v>
      </c>
      <c r="G20" s="52"/>
    </row>
    <row r="21" spans="1:8" x14ac:dyDescent="0.35">
      <c r="A21" s="182">
        <v>1961</v>
      </c>
      <c r="B21" s="183"/>
      <c r="C21" s="184">
        <f t="shared" si="0"/>
        <v>0</v>
      </c>
      <c r="D21" s="20"/>
      <c r="E21" s="55" t="s">
        <v>37</v>
      </c>
      <c r="F21" s="13">
        <v>0.22</v>
      </c>
      <c r="G21" s="52"/>
    </row>
    <row r="22" spans="1:8" x14ac:dyDescent="0.35">
      <c r="A22" s="12">
        <v>1962</v>
      </c>
      <c r="B22" s="90"/>
      <c r="C22" s="66">
        <f t="shared" si="0"/>
        <v>0</v>
      </c>
      <c r="D22" s="20"/>
      <c r="E22" s="55" t="s">
        <v>38</v>
      </c>
      <c r="F22" s="13">
        <v>0.5</v>
      </c>
      <c r="G22" s="52"/>
    </row>
    <row r="23" spans="1:8" x14ac:dyDescent="0.35">
      <c r="A23" s="182">
        <v>1963</v>
      </c>
      <c r="B23" s="183"/>
      <c r="C23" s="184">
        <f t="shared" si="0"/>
        <v>0</v>
      </c>
      <c r="D23" s="20"/>
      <c r="E23" s="55" t="s">
        <v>39</v>
      </c>
      <c r="F23" s="13">
        <v>0.5</v>
      </c>
      <c r="G23" s="52"/>
    </row>
    <row r="24" spans="1:8" ht="15" thickBot="1" x14ac:dyDescent="0.4">
      <c r="A24" s="12">
        <v>1964</v>
      </c>
      <c r="B24" s="90"/>
      <c r="C24" s="66">
        <f t="shared" si="0"/>
        <v>0</v>
      </c>
      <c r="D24" s="20"/>
      <c r="E24" s="56" t="s">
        <v>40</v>
      </c>
      <c r="F24" s="18">
        <v>3.7999999999999999E-2</v>
      </c>
      <c r="G24" s="52"/>
    </row>
    <row r="25" spans="1:8" x14ac:dyDescent="0.35">
      <c r="A25" s="182">
        <v>1965</v>
      </c>
      <c r="B25" s="183"/>
      <c r="C25" s="184">
        <f t="shared" si="0"/>
        <v>0</v>
      </c>
      <c r="D25" s="20"/>
      <c r="E25" s="73"/>
      <c r="F25" s="71"/>
      <c r="G25" s="52"/>
    </row>
    <row r="26" spans="1:8" x14ac:dyDescent="0.35">
      <c r="A26" s="12">
        <v>1966</v>
      </c>
      <c r="B26" s="90"/>
      <c r="C26" s="66">
        <f t="shared" si="0"/>
        <v>0</v>
      </c>
      <c r="D26" s="20"/>
      <c r="E26" s="20"/>
      <c r="F26" s="20"/>
      <c r="G26" s="52"/>
    </row>
    <row r="27" spans="1:8" x14ac:dyDescent="0.35">
      <c r="A27" s="182">
        <v>1967</v>
      </c>
      <c r="B27" s="183"/>
      <c r="C27" s="184">
        <f t="shared" si="0"/>
        <v>0</v>
      </c>
      <c r="D27" s="20"/>
      <c r="E27" s="20"/>
      <c r="F27" s="20"/>
      <c r="G27" s="52"/>
    </row>
    <row r="28" spans="1:8" x14ac:dyDescent="0.35">
      <c r="A28" s="12">
        <v>1968</v>
      </c>
      <c r="B28" s="90"/>
      <c r="C28" s="66">
        <f t="shared" si="0"/>
        <v>0</v>
      </c>
      <c r="D28" s="20"/>
      <c r="E28" s="20"/>
      <c r="F28" s="20"/>
      <c r="G28" s="52"/>
    </row>
    <row r="29" spans="1:8" x14ac:dyDescent="0.35">
      <c r="A29" s="182">
        <v>1969</v>
      </c>
      <c r="B29" s="183"/>
      <c r="C29" s="184">
        <f t="shared" si="0"/>
        <v>0</v>
      </c>
      <c r="D29" s="20"/>
      <c r="E29" s="20"/>
      <c r="F29" s="20"/>
      <c r="G29" s="52"/>
    </row>
    <row r="30" spans="1:8" x14ac:dyDescent="0.35">
      <c r="A30" s="12">
        <v>1970</v>
      </c>
      <c r="B30" s="90"/>
      <c r="C30" s="66">
        <f t="shared" si="0"/>
        <v>0</v>
      </c>
      <c r="D30" s="20"/>
      <c r="E30" s="20"/>
      <c r="F30" s="20"/>
      <c r="G30" s="52"/>
    </row>
    <row r="31" spans="1:8" x14ac:dyDescent="0.35">
      <c r="A31" s="182">
        <v>1971</v>
      </c>
      <c r="B31" s="183"/>
      <c r="C31" s="184">
        <f t="shared" si="0"/>
        <v>0</v>
      </c>
      <c r="D31" s="20"/>
      <c r="E31" s="20"/>
      <c r="F31" s="20"/>
      <c r="G31" s="52"/>
    </row>
    <row r="32" spans="1:8" x14ac:dyDescent="0.35">
      <c r="A32" s="12">
        <v>1972</v>
      </c>
      <c r="B32" s="90"/>
      <c r="C32" s="66">
        <f t="shared" si="0"/>
        <v>0</v>
      </c>
      <c r="D32" s="20"/>
      <c r="E32" s="20"/>
      <c r="F32" s="20"/>
      <c r="G32" s="52"/>
    </row>
    <row r="33" spans="1:7" s="161" customFormat="1" x14ac:dyDescent="0.35">
      <c r="A33" s="182">
        <v>1973</v>
      </c>
      <c r="B33" s="183"/>
      <c r="C33" s="184">
        <f t="shared" si="0"/>
        <v>0</v>
      </c>
      <c r="D33" s="71"/>
      <c r="E33" s="71"/>
      <c r="F33" s="71"/>
      <c r="G33" s="72"/>
    </row>
    <row r="34" spans="1:7" x14ac:dyDescent="0.35">
      <c r="A34" s="12">
        <v>1974</v>
      </c>
      <c r="B34" s="90"/>
      <c r="C34" s="66">
        <f t="shared" si="0"/>
        <v>0</v>
      </c>
      <c r="D34" s="20"/>
      <c r="E34" s="20"/>
      <c r="F34" s="20"/>
      <c r="G34" s="52"/>
    </row>
    <row r="35" spans="1:7" s="161" customFormat="1" x14ac:dyDescent="0.35">
      <c r="A35" s="182">
        <v>1975</v>
      </c>
      <c r="B35" s="183"/>
      <c r="C35" s="184">
        <f t="shared" si="0"/>
        <v>0</v>
      </c>
      <c r="D35" s="71"/>
      <c r="E35" s="71"/>
      <c r="F35" s="71"/>
      <c r="G35" s="72"/>
    </row>
    <row r="36" spans="1:7" x14ac:dyDescent="0.35">
      <c r="A36" s="12">
        <v>1976</v>
      </c>
      <c r="B36" s="90"/>
      <c r="C36" s="66">
        <f t="shared" si="0"/>
        <v>0</v>
      </c>
      <c r="D36" s="20"/>
      <c r="E36" s="20"/>
      <c r="F36" s="20"/>
      <c r="G36" s="52"/>
    </row>
    <row r="37" spans="1:7" s="161" customFormat="1" x14ac:dyDescent="0.35">
      <c r="A37" s="182">
        <v>1977</v>
      </c>
      <c r="B37" s="183"/>
      <c r="C37" s="184">
        <f t="shared" si="0"/>
        <v>0</v>
      </c>
      <c r="D37" s="71"/>
      <c r="E37" s="71"/>
      <c r="F37" s="71"/>
      <c r="G37" s="72"/>
    </row>
    <row r="38" spans="1:7" x14ac:dyDescent="0.35">
      <c r="A38" s="12">
        <v>1978</v>
      </c>
      <c r="B38" s="90"/>
      <c r="C38" s="66">
        <f t="shared" si="0"/>
        <v>0</v>
      </c>
      <c r="D38" s="20"/>
      <c r="E38" s="20"/>
      <c r="F38" s="20"/>
      <c r="G38" s="52"/>
    </row>
    <row r="39" spans="1:7" s="161" customFormat="1" x14ac:dyDescent="0.35">
      <c r="A39" s="182">
        <v>1979</v>
      </c>
      <c r="B39" s="183"/>
      <c r="C39" s="184">
        <f t="shared" si="0"/>
        <v>0</v>
      </c>
      <c r="D39" s="71"/>
      <c r="E39" s="71"/>
      <c r="F39" s="71"/>
      <c r="G39" s="72"/>
    </row>
    <row r="40" spans="1:7" x14ac:dyDescent="0.35">
      <c r="A40" s="12">
        <v>1980</v>
      </c>
      <c r="B40" s="90"/>
      <c r="C40" s="66">
        <f t="shared" si="0"/>
        <v>0</v>
      </c>
      <c r="D40" s="20"/>
      <c r="E40" s="20"/>
      <c r="F40" s="20"/>
      <c r="G40" s="52"/>
    </row>
    <row r="41" spans="1:7" s="161" customFormat="1" x14ac:dyDescent="0.35">
      <c r="A41" s="182">
        <v>1981</v>
      </c>
      <c r="B41" s="183"/>
      <c r="C41" s="184">
        <f t="shared" si="0"/>
        <v>0</v>
      </c>
      <c r="D41" s="71"/>
      <c r="E41" s="71"/>
      <c r="F41" s="71"/>
      <c r="G41" s="72"/>
    </row>
    <row r="42" spans="1:7" x14ac:dyDescent="0.35">
      <c r="A42" s="12">
        <v>1982</v>
      </c>
      <c r="B42" s="90"/>
      <c r="C42" s="66">
        <f t="shared" si="0"/>
        <v>0</v>
      </c>
      <c r="D42" s="20"/>
      <c r="E42" s="20"/>
      <c r="F42" s="20"/>
      <c r="G42" s="52"/>
    </row>
    <row r="43" spans="1:7" s="161" customFormat="1" x14ac:dyDescent="0.35">
      <c r="A43" s="182">
        <v>1983</v>
      </c>
      <c r="B43" s="183"/>
      <c r="C43" s="184">
        <f t="shared" si="0"/>
        <v>0</v>
      </c>
      <c r="D43" s="71"/>
      <c r="E43" s="71"/>
      <c r="F43" s="71"/>
      <c r="G43" s="72"/>
    </row>
    <row r="44" spans="1:7" x14ac:dyDescent="0.35">
      <c r="A44" s="12">
        <v>1984</v>
      </c>
      <c r="B44" s="90"/>
      <c r="C44" s="66">
        <f t="shared" si="0"/>
        <v>0</v>
      </c>
      <c r="D44" s="20"/>
      <c r="E44" s="20"/>
      <c r="F44" s="20"/>
      <c r="G44" s="52"/>
    </row>
    <row r="45" spans="1:7" s="161" customFormat="1" x14ac:dyDescent="0.35">
      <c r="A45" s="182">
        <v>1985</v>
      </c>
      <c r="B45" s="183"/>
      <c r="C45" s="184">
        <f t="shared" si="0"/>
        <v>0</v>
      </c>
      <c r="D45" s="71"/>
      <c r="E45" s="71"/>
      <c r="F45" s="71"/>
      <c r="G45" s="72"/>
    </row>
    <row r="46" spans="1:7" x14ac:dyDescent="0.35">
      <c r="A46" s="12">
        <v>1986</v>
      </c>
      <c r="B46" s="90"/>
      <c r="C46" s="66">
        <f t="shared" si="0"/>
        <v>0</v>
      </c>
      <c r="D46" s="20"/>
      <c r="E46" s="20"/>
      <c r="F46" s="20"/>
      <c r="G46" s="52"/>
    </row>
    <row r="47" spans="1:7" s="161" customFormat="1" x14ac:dyDescent="0.35">
      <c r="A47" s="182">
        <v>1987</v>
      </c>
      <c r="B47" s="183"/>
      <c r="C47" s="184">
        <f t="shared" si="0"/>
        <v>0</v>
      </c>
      <c r="D47" s="71"/>
      <c r="E47" s="71"/>
      <c r="F47" s="71"/>
      <c r="G47" s="72"/>
    </row>
    <row r="48" spans="1:7" x14ac:dyDescent="0.35">
      <c r="A48" s="12">
        <v>1988</v>
      </c>
      <c r="B48" s="90"/>
      <c r="C48" s="66">
        <f t="shared" si="0"/>
        <v>0</v>
      </c>
      <c r="D48" s="20"/>
      <c r="E48" s="20"/>
      <c r="F48" s="20"/>
      <c r="G48" s="52"/>
    </row>
    <row r="49" spans="1:7" s="161" customFormat="1" x14ac:dyDescent="0.35">
      <c r="A49" s="182">
        <v>1989</v>
      </c>
      <c r="B49" s="183"/>
      <c r="C49" s="184">
        <f t="shared" si="0"/>
        <v>0</v>
      </c>
      <c r="D49" s="71"/>
      <c r="E49" s="71"/>
      <c r="F49" s="71"/>
      <c r="G49" s="72"/>
    </row>
    <row r="50" spans="1:7" x14ac:dyDescent="0.35">
      <c r="A50" s="12">
        <v>1990</v>
      </c>
      <c r="B50" s="90"/>
      <c r="C50" s="66">
        <f t="shared" si="0"/>
        <v>0</v>
      </c>
      <c r="D50" s="20"/>
      <c r="E50" s="20"/>
      <c r="F50" s="20"/>
      <c r="G50" s="52"/>
    </row>
    <row r="51" spans="1:7" s="161" customFormat="1" x14ac:dyDescent="0.35">
      <c r="A51" s="182">
        <v>1991</v>
      </c>
      <c r="B51" s="183"/>
      <c r="C51" s="184">
        <f t="shared" si="0"/>
        <v>0</v>
      </c>
      <c r="D51" s="71"/>
      <c r="E51" s="71"/>
      <c r="F51" s="71"/>
      <c r="G51" s="72"/>
    </row>
    <row r="52" spans="1:7" x14ac:dyDescent="0.35">
      <c r="A52" s="12">
        <v>1992</v>
      </c>
      <c r="B52" s="90"/>
      <c r="C52" s="66">
        <f t="shared" ref="C52:C83" si="1">B52*MCF*DOC*DOCF*F*(16/12)*(EXP(-k*($A$86-A52-1))-EXP(-k*($A$86-A52)))</f>
        <v>0</v>
      </c>
      <c r="D52" s="20"/>
      <c r="E52" s="20"/>
      <c r="F52" s="20"/>
      <c r="G52" s="52"/>
    </row>
    <row r="53" spans="1:7" s="161" customFormat="1" x14ac:dyDescent="0.35">
      <c r="A53" s="182">
        <v>1993</v>
      </c>
      <c r="B53" s="183"/>
      <c r="C53" s="184">
        <f t="shared" si="1"/>
        <v>0</v>
      </c>
      <c r="D53" s="71"/>
      <c r="E53" s="71"/>
      <c r="F53" s="71"/>
      <c r="G53" s="72"/>
    </row>
    <row r="54" spans="1:7" x14ac:dyDescent="0.35">
      <c r="A54" s="12">
        <v>1994</v>
      </c>
      <c r="B54" s="90"/>
      <c r="C54" s="66">
        <f t="shared" si="1"/>
        <v>0</v>
      </c>
      <c r="D54" s="20"/>
      <c r="E54" s="20"/>
      <c r="F54" s="20"/>
      <c r="G54" s="52"/>
    </row>
    <row r="55" spans="1:7" s="161" customFormat="1" x14ac:dyDescent="0.35">
      <c r="A55" s="182">
        <v>1995</v>
      </c>
      <c r="B55" s="183"/>
      <c r="C55" s="184">
        <f t="shared" si="1"/>
        <v>0</v>
      </c>
      <c r="D55" s="71"/>
      <c r="E55" s="71"/>
      <c r="F55" s="71"/>
      <c r="G55" s="72"/>
    </row>
    <row r="56" spans="1:7" x14ac:dyDescent="0.35">
      <c r="A56" s="12">
        <v>1996</v>
      </c>
      <c r="B56" s="90"/>
      <c r="C56" s="66">
        <f t="shared" si="1"/>
        <v>0</v>
      </c>
      <c r="D56" s="20"/>
      <c r="E56" s="20"/>
      <c r="F56" s="20"/>
      <c r="G56" s="52"/>
    </row>
    <row r="57" spans="1:7" s="161" customFormat="1" x14ac:dyDescent="0.35">
      <c r="A57" s="182">
        <v>1997</v>
      </c>
      <c r="B57" s="183"/>
      <c r="C57" s="184">
        <f t="shared" si="1"/>
        <v>0</v>
      </c>
      <c r="D57" s="71"/>
      <c r="E57" s="71"/>
      <c r="F57" s="71"/>
      <c r="G57" s="72"/>
    </row>
    <row r="58" spans="1:7" x14ac:dyDescent="0.35">
      <c r="A58" s="12">
        <v>1998</v>
      </c>
      <c r="B58" s="90"/>
      <c r="C58" s="66">
        <f t="shared" si="1"/>
        <v>0</v>
      </c>
      <c r="D58" s="20"/>
      <c r="E58" s="20"/>
      <c r="F58" s="20"/>
      <c r="G58" s="52"/>
    </row>
    <row r="59" spans="1:7" s="161" customFormat="1" x14ac:dyDescent="0.35">
      <c r="A59" s="182">
        <v>1999</v>
      </c>
      <c r="B59" s="183"/>
      <c r="C59" s="184">
        <f t="shared" si="1"/>
        <v>0</v>
      </c>
      <c r="D59" s="71"/>
      <c r="E59" s="71"/>
      <c r="F59" s="71"/>
      <c r="G59" s="72"/>
    </row>
    <row r="60" spans="1:7" x14ac:dyDescent="0.35">
      <c r="A60" s="12">
        <v>2000</v>
      </c>
      <c r="B60" s="90"/>
      <c r="C60" s="66">
        <f t="shared" si="1"/>
        <v>0</v>
      </c>
      <c r="D60" s="20"/>
      <c r="E60" s="20"/>
      <c r="F60" s="20"/>
      <c r="G60" s="52"/>
    </row>
    <row r="61" spans="1:7" s="161" customFormat="1" x14ac:dyDescent="0.35">
      <c r="A61" s="182">
        <v>2001</v>
      </c>
      <c r="B61" s="183"/>
      <c r="C61" s="184">
        <f t="shared" si="1"/>
        <v>0</v>
      </c>
      <c r="D61" s="71"/>
      <c r="E61" s="71"/>
      <c r="F61" s="71"/>
      <c r="G61" s="72"/>
    </row>
    <row r="62" spans="1:7" x14ac:dyDescent="0.35">
      <c r="A62" s="12">
        <v>2002</v>
      </c>
      <c r="B62" s="90"/>
      <c r="C62" s="66">
        <f t="shared" si="1"/>
        <v>0</v>
      </c>
      <c r="D62" s="20"/>
      <c r="E62" s="20"/>
      <c r="F62" s="20"/>
      <c r="G62" s="52"/>
    </row>
    <row r="63" spans="1:7" s="161" customFormat="1" x14ac:dyDescent="0.35">
      <c r="A63" s="182">
        <v>2003</v>
      </c>
      <c r="B63" s="183"/>
      <c r="C63" s="184">
        <f t="shared" si="1"/>
        <v>0</v>
      </c>
      <c r="D63" s="71"/>
      <c r="E63" s="71"/>
      <c r="F63" s="71"/>
      <c r="G63" s="72"/>
    </row>
    <row r="64" spans="1:7" x14ac:dyDescent="0.35">
      <c r="A64" s="12">
        <v>2004</v>
      </c>
      <c r="B64" s="90"/>
      <c r="C64" s="66">
        <f t="shared" si="1"/>
        <v>0</v>
      </c>
      <c r="D64" s="20"/>
      <c r="E64" s="20"/>
      <c r="F64" s="20"/>
      <c r="G64" s="52"/>
    </row>
    <row r="65" spans="1:7" s="161" customFormat="1" x14ac:dyDescent="0.35">
      <c r="A65" s="182">
        <v>2005</v>
      </c>
      <c r="B65" s="183"/>
      <c r="C65" s="184">
        <f t="shared" si="1"/>
        <v>0</v>
      </c>
      <c r="D65" s="71"/>
      <c r="E65" s="71"/>
      <c r="F65" s="71"/>
      <c r="G65" s="72"/>
    </row>
    <row r="66" spans="1:7" x14ac:dyDescent="0.35">
      <c r="A66" s="12">
        <v>2006</v>
      </c>
      <c r="B66" s="90"/>
      <c r="C66" s="66">
        <f t="shared" si="1"/>
        <v>0</v>
      </c>
      <c r="D66" s="20"/>
      <c r="E66" s="20"/>
      <c r="F66" s="20"/>
      <c r="G66" s="52"/>
    </row>
    <row r="67" spans="1:7" s="161" customFormat="1" x14ac:dyDescent="0.35">
      <c r="A67" s="182">
        <v>2007</v>
      </c>
      <c r="B67" s="183"/>
      <c r="C67" s="184">
        <f t="shared" si="1"/>
        <v>0</v>
      </c>
      <c r="D67" s="71"/>
      <c r="E67" s="71"/>
      <c r="F67" s="71"/>
      <c r="G67" s="72"/>
    </row>
    <row r="68" spans="1:7" x14ac:dyDescent="0.35">
      <c r="A68" s="12">
        <v>2008</v>
      </c>
      <c r="B68" s="90"/>
      <c r="C68" s="66">
        <f t="shared" si="1"/>
        <v>0</v>
      </c>
      <c r="D68" s="20"/>
      <c r="E68" s="20"/>
      <c r="F68" s="20"/>
      <c r="G68" s="52"/>
    </row>
    <row r="69" spans="1:7" s="161" customFormat="1" x14ac:dyDescent="0.35">
      <c r="A69" s="182">
        <v>2009</v>
      </c>
      <c r="B69" s="183"/>
      <c r="C69" s="184">
        <f t="shared" si="1"/>
        <v>0</v>
      </c>
      <c r="D69" s="71"/>
      <c r="E69" s="71"/>
      <c r="F69" s="71"/>
      <c r="G69" s="72"/>
    </row>
    <row r="70" spans="1:7" x14ac:dyDescent="0.35">
      <c r="A70" s="12">
        <v>2010</v>
      </c>
      <c r="B70" s="90"/>
      <c r="C70" s="66">
        <f t="shared" si="1"/>
        <v>0</v>
      </c>
      <c r="D70" s="20"/>
      <c r="E70" s="20"/>
      <c r="F70" s="20"/>
      <c r="G70" s="52"/>
    </row>
    <row r="71" spans="1:7" s="161" customFormat="1" x14ac:dyDescent="0.35">
      <c r="A71" s="182">
        <v>2011</v>
      </c>
      <c r="B71" s="183"/>
      <c r="C71" s="184">
        <f t="shared" si="1"/>
        <v>0</v>
      </c>
      <c r="D71" s="71"/>
      <c r="E71" s="71"/>
      <c r="F71" s="71"/>
      <c r="G71" s="72"/>
    </row>
    <row r="72" spans="1:7" x14ac:dyDescent="0.35">
      <c r="A72" s="12">
        <v>2012</v>
      </c>
      <c r="B72" s="90"/>
      <c r="C72" s="66">
        <f t="shared" si="1"/>
        <v>0</v>
      </c>
      <c r="D72" s="20"/>
      <c r="E72" s="20"/>
      <c r="F72" s="20"/>
      <c r="G72" s="52"/>
    </row>
    <row r="73" spans="1:7" s="161" customFormat="1" x14ac:dyDescent="0.35">
      <c r="A73" s="182">
        <v>2013</v>
      </c>
      <c r="B73" s="183"/>
      <c r="C73" s="184">
        <f t="shared" si="1"/>
        <v>0</v>
      </c>
      <c r="D73" s="71"/>
      <c r="E73" s="71"/>
      <c r="F73" s="71"/>
      <c r="G73" s="72"/>
    </row>
    <row r="74" spans="1:7" x14ac:dyDescent="0.35">
      <c r="A74" s="12">
        <v>2014</v>
      </c>
      <c r="B74" s="90"/>
      <c r="C74" s="66">
        <f t="shared" si="1"/>
        <v>0</v>
      </c>
      <c r="D74" s="20"/>
      <c r="E74" s="20"/>
      <c r="F74" s="20"/>
      <c r="G74" s="52"/>
    </row>
    <row r="75" spans="1:7" s="161" customFormat="1" x14ac:dyDescent="0.35">
      <c r="A75" s="182">
        <v>2015</v>
      </c>
      <c r="B75" s="183"/>
      <c r="C75" s="184">
        <f t="shared" si="1"/>
        <v>0</v>
      </c>
      <c r="D75" s="71"/>
      <c r="E75" s="71"/>
      <c r="F75" s="71"/>
      <c r="G75" s="72"/>
    </row>
    <row r="76" spans="1:7" x14ac:dyDescent="0.35">
      <c r="A76" s="12">
        <v>2016</v>
      </c>
      <c r="B76" s="90"/>
      <c r="C76" s="66">
        <f t="shared" si="1"/>
        <v>0</v>
      </c>
      <c r="D76" s="20"/>
      <c r="E76" s="20"/>
      <c r="F76" s="20"/>
      <c r="G76" s="52"/>
    </row>
    <row r="77" spans="1:7" s="161" customFormat="1" x14ac:dyDescent="0.35">
      <c r="A77" s="182">
        <v>2017</v>
      </c>
      <c r="B77" s="183"/>
      <c r="C77" s="184">
        <f t="shared" si="1"/>
        <v>0</v>
      </c>
      <c r="D77" s="71"/>
      <c r="E77" s="71"/>
      <c r="F77" s="71"/>
      <c r="G77" s="72"/>
    </row>
    <row r="78" spans="1:7" x14ac:dyDescent="0.35">
      <c r="A78" s="12">
        <v>2018</v>
      </c>
      <c r="B78" s="90"/>
      <c r="C78" s="66">
        <f t="shared" si="1"/>
        <v>0</v>
      </c>
      <c r="D78" s="20"/>
      <c r="E78" s="20"/>
      <c r="F78" s="20"/>
      <c r="G78" s="52"/>
    </row>
    <row r="79" spans="1:7" s="161" customFormat="1" x14ac:dyDescent="0.35">
      <c r="A79" s="182">
        <v>2019</v>
      </c>
      <c r="B79" s="183"/>
      <c r="C79" s="184">
        <f t="shared" si="1"/>
        <v>0</v>
      </c>
      <c r="D79" s="71"/>
      <c r="E79" s="71"/>
      <c r="F79" s="71"/>
      <c r="G79" s="72"/>
    </row>
    <row r="80" spans="1:7" x14ac:dyDescent="0.35">
      <c r="A80" s="12">
        <v>2020</v>
      </c>
      <c r="B80" s="90"/>
      <c r="C80" s="66">
        <f t="shared" si="1"/>
        <v>0</v>
      </c>
      <c r="D80" s="20"/>
      <c r="E80" s="20"/>
      <c r="F80" s="20"/>
      <c r="G80" s="52"/>
    </row>
    <row r="81" spans="1:7" s="161" customFormat="1" x14ac:dyDescent="0.35">
      <c r="A81" s="182">
        <v>2021</v>
      </c>
      <c r="B81" s="183"/>
      <c r="C81" s="184">
        <f t="shared" si="1"/>
        <v>0</v>
      </c>
      <c r="D81" s="71"/>
      <c r="E81" s="71"/>
      <c r="F81" s="71"/>
      <c r="G81" s="72"/>
    </row>
    <row r="82" spans="1:7" x14ac:dyDescent="0.35">
      <c r="A82" s="12">
        <v>2022</v>
      </c>
      <c r="B82" s="90"/>
      <c r="C82" s="66">
        <f t="shared" si="1"/>
        <v>0</v>
      </c>
      <c r="D82" s="20"/>
      <c r="E82" s="20"/>
      <c r="F82" s="20"/>
      <c r="G82" s="52"/>
    </row>
    <row r="83" spans="1:7" s="161" customFormat="1" x14ac:dyDescent="0.35">
      <c r="A83" s="182">
        <v>2023</v>
      </c>
      <c r="B83" s="183"/>
      <c r="C83" s="184">
        <f t="shared" si="1"/>
        <v>0</v>
      </c>
      <c r="D83" s="71"/>
      <c r="E83" s="71"/>
      <c r="F83" s="71"/>
      <c r="G83" s="72"/>
    </row>
    <row r="84" spans="1:7" x14ac:dyDescent="0.35">
      <c r="A84" s="12">
        <v>2024</v>
      </c>
      <c r="B84" s="90"/>
      <c r="C84" s="66">
        <f t="shared" ref="C84:C86" si="2">B84*MCF*DOC*DOCF*F*(16/12)*(EXP(-k*($A$86-A84-1))-EXP(-k*($A$86-A84)))</f>
        <v>0</v>
      </c>
      <c r="D84" s="20"/>
      <c r="E84" s="20"/>
      <c r="F84" s="20"/>
      <c r="G84" s="52"/>
    </row>
    <row r="85" spans="1:7" s="161" customFormat="1" x14ac:dyDescent="0.35">
      <c r="A85" s="182">
        <v>2025</v>
      </c>
      <c r="B85" s="183"/>
      <c r="C85" s="184">
        <f t="shared" si="2"/>
        <v>0</v>
      </c>
      <c r="D85" s="71"/>
      <c r="E85" s="71"/>
      <c r="F85" s="71"/>
      <c r="G85" s="72"/>
    </row>
    <row r="86" spans="1:7" ht="15" thickBot="1" x14ac:dyDescent="0.4">
      <c r="A86" s="147">
        <v>2026</v>
      </c>
      <c r="B86" s="91"/>
      <c r="C86" s="69">
        <f t="shared" si="2"/>
        <v>0</v>
      </c>
      <c r="D86" s="20"/>
      <c r="E86" s="20"/>
      <c r="F86" s="20"/>
      <c r="G86" s="52"/>
    </row>
    <row r="87" spans="1:7" x14ac:dyDescent="0.35">
      <c r="A87" s="1"/>
      <c r="B87" s="173" t="s">
        <v>35</v>
      </c>
      <c r="C87" s="174">
        <f>SUM(C20:C86)</f>
        <v>0</v>
      </c>
      <c r="D87" s="289" t="s">
        <v>41</v>
      </c>
      <c r="E87" s="289"/>
      <c r="F87" s="290"/>
      <c r="G87" s="52"/>
    </row>
    <row r="88" spans="1:7" x14ac:dyDescent="0.35">
      <c r="A88" s="70"/>
      <c r="B88" s="175" t="s">
        <v>42</v>
      </c>
      <c r="C88" s="137"/>
      <c r="D88" s="138"/>
      <c r="E88" s="138"/>
      <c r="F88" s="176"/>
      <c r="G88" s="72"/>
    </row>
    <row r="89" spans="1:7" x14ac:dyDescent="0.35">
      <c r="A89" s="70"/>
      <c r="B89" s="177" t="s">
        <v>43</v>
      </c>
      <c r="C89" s="59" t="str">
        <f>IFERROR((VLOOKUP(C88,Table4[#All],3,FALSE))," ")</f>
        <v xml:space="preserve"> </v>
      </c>
      <c r="D89" s="59"/>
      <c r="E89" s="59"/>
      <c r="F89" s="178"/>
      <c r="G89" s="72"/>
    </row>
    <row r="90" spans="1:7" x14ac:dyDescent="0.35">
      <c r="A90" s="1"/>
      <c r="B90" s="177" t="s">
        <v>44</v>
      </c>
      <c r="C90" s="59" t="str">
        <f>IFERROR((C87*(1-C89))," ")</f>
        <v xml:space="preserve"> </v>
      </c>
      <c r="D90" s="291" t="s">
        <v>45</v>
      </c>
      <c r="E90" s="291"/>
      <c r="F90" s="292"/>
      <c r="G90" s="52"/>
    </row>
    <row r="91" spans="1:7" x14ac:dyDescent="0.35">
      <c r="A91" s="1"/>
      <c r="B91" s="179" t="s">
        <v>46</v>
      </c>
      <c r="C91" s="136"/>
      <c r="D91" s="293" t="s">
        <v>47</v>
      </c>
      <c r="E91" s="293"/>
      <c r="F91" s="294"/>
      <c r="G91" s="52"/>
    </row>
    <row r="92" spans="1:7" ht="15" thickBot="1" x14ac:dyDescent="0.4">
      <c r="A92" s="1"/>
      <c r="B92" s="180" t="s">
        <v>226</v>
      </c>
      <c r="C92" s="181" t="str">
        <f>IFERROR(((C90-C91)*84), " ")</f>
        <v xml:space="preserve"> </v>
      </c>
      <c r="D92" s="295" t="s">
        <v>48</v>
      </c>
      <c r="E92" s="295"/>
      <c r="F92" s="296"/>
      <c r="G92" s="52"/>
    </row>
    <row r="93" spans="1:7" ht="15" thickBot="1" x14ac:dyDescent="0.4">
      <c r="A93" s="279"/>
      <c r="B93" s="280"/>
      <c r="C93" s="280"/>
      <c r="D93" s="280"/>
      <c r="E93" s="280"/>
      <c r="F93" s="280"/>
      <c r="G93" s="281"/>
    </row>
  </sheetData>
  <sheetProtection algorithmName="SHA-512" hashValue="RfBqiT/SxP8CHS8FQCWSMuZ1mUkE2/6+xpfyyQG4ZOlUggZ63XUPcj76F1sQafA8Y9rIxFhGMqFpg5MmVgmuQg==" saltValue="utJO1JTcZKEu3WJtQgfFyQ==" spinCount="100000" sheet="1" objects="1" scenarios="1"/>
  <mergeCells count="14">
    <mergeCell ref="A93:G93"/>
    <mergeCell ref="A4:G4"/>
    <mergeCell ref="A5:G5"/>
    <mergeCell ref="A1:G1"/>
    <mergeCell ref="A8:G8"/>
    <mergeCell ref="A9:G9"/>
    <mergeCell ref="D87:F87"/>
    <mergeCell ref="D90:F90"/>
    <mergeCell ref="D91:F91"/>
    <mergeCell ref="D92:F92"/>
    <mergeCell ref="A13:F13"/>
    <mergeCell ref="A17:G17"/>
    <mergeCell ref="A10:G10"/>
    <mergeCell ref="A11:G11"/>
  </mergeCells>
  <hyperlinks>
    <hyperlink ref="B88" location="'Landfill Cover Types'!A1" display="select type of landfill cover" xr:uid="{8FDDF9F7-3DCB-456C-9DAD-804F78E282A2}"/>
  </hyperlink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AF12C118-D2AA-4D4E-9AC4-358D4C99ABFD}">
          <x14:formula1>
            <xm:f>'Landfill Cover Types'!$A$6:$A$11</xm:f>
          </x14:formula1>
          <xm:sqref>C88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C9B7A-5E0F-4A18-93E7-1E9E1DD257E9}">
  <dimension ref="A1:N37"/>
  <sheetViews>
    <sheetView showGridLines="0" topLeftCell="A10" workbookViewId="0">
      <selection activeCell="C13" sqref="C13:C14"/>
    </sheetView>
  </sheetViews>
  <sheetFormatPr defaultRowHeight="14.5" x14ac:dyDescent="0.35"/>
  <cols>
    <col min="1" max="1" width="25" customWidth="1"/>
    <col min="2" max="2" width="17.81640625" customWidth="1"/>
    <col min="3" max="3" width="30" customWidth="1"/>
  </cols>
  <sheetData>
    <row r="1" spans="1:14" ht="26" x14ac:dyDescent="0.6">
      <c r="A1" s="309" t="s">
        <v>49</v>
      </c>
      <c r="B1" s="310"/>
      <c r="C1" s="310"/>
      <c r="D1" s="310"/>
      <c r="E1" s="310"/>
      <c r="F1" s="310"/>
      <c r="G1" s="310"/>
      <c r="H1" s="310"/>
      <c r="I1" s="310"/>
      <c r="J1" s="310"/>
      <c r="K1" s="310"/>
      <c r="L1" s="162"/>
      <c r="M1" s="99"/>
      <c r="N1" s="100"/>
    </row>
    <row r="2" spans="1:14" ht="15.65" customHeight="1" x14ac:dyDescent="0.6">
      <c r="A2" s="163"/>
      <c r="B2" s="164"/>
      <c r="C2" s="164"/>
      <c r="D2" s="164"/>
      <c r="E2" s="164"/>
      <c r="F2" s="164"/>
      <c r="G2" s="164"/>
      <c r="H2" s="164"/>
      <c r="I2" s="164"/>
      <c r="J2" s="164"/>
      <c r="K2" s="164"/>
      <c r="L2" s="120"/>
      <c r="M2" s="20"/>
      <c r="N2" s="52"/>
    </row>
    <row r="3" spans="1:14" ht="18" customHeight="1" x14ac:dyDescent="0.35">
      <c r="A3" s="311" t="s">
        <v>13</v>
      </c>
      <c r="B3" s="312"/>
      <c r="C3" s="312"/>
      <c r="D3" s="312"/>
      <c r="E3" s="312"/>
      <c r="F3" s="312"/>
      <c r="G3" s="312"/>
      <c r="H3" s="312"/>
      <c r="I3" s="312"/>
      <c r="J3" s="312"/>
      <c r="K3" s="313"/>
      <c r="L3" s="120"/>
      <c r="M3" s="20"/>
      <c r="N3" s="52"/>
    </row>
    <row r="4" spans="1:14" s="30" customFormat="1" ht="33" customHeight="1" x14ac:dyDescent="0.35">
      <c r="A4" s="314" t="s">
        <v>50</v>
      </c>
      <c r="B4" s="315"/>
      <c r="C4" s="315"/>
      <c r="D4" s="315"/>
      <c r="E4" s="315"/>
      <c r="F4" s="315"/>
      <c r="G4" s="315"/>
      <c r="H4" s="315"/>
      <c r="I4" s="315"/>
      <c r="J4" s="315"/>
      <c r="K4" s="316"/>
      <c r="L4" s="210"/>
      <c r="M4" s="165"/>
      <c r="N4" s="166"/>
    </row>
    <row r="5" spans="1:14" ht="15.65" customHeight="1" x14ac:dyDescent="0.6">
      <c r="A5" s="163"/>
      <c r="B5" s="164"/>
      <c r="C5" s="164"/>
      <c r="D5" s="164"/>
      <c r="E5" s="164"/>
      <c r="F5" s="164"/>
      <c r="G5" s="164"/>
      <c r="H5" s="164"/>
      <c r="I5" s="164"/>
      <c r="J5" s="164"/>
      <c r="K5" s="164"/>
      <c r="L5" s="120"/>
      <c r="M5" s="20"/>
      <c r="N5" s="52"/>
    </row>
    <row r="6" spans="1:14" ht="15.75" customHeight="1" x14ac:dyDescent="0.35">
      <c r="A6" s="319" t="s">
        <v>227</v>
      </c>
      <c r="B6" s="320"/>
      <c r="C6" s="320"/>
      <c r="D6" s="320"/>
      <c r="E6" s="320"/>
      <c r="F6" s="320"/>
      <c r="G6" s="320"/>
      <c r="H6" s="320"/>
      <c r="I6" s="320"/>
      <c r="J6" s="320"/>
      <c r="K6" s="321"/>
      <c r="L6" s="120"/>
      <c r="M6" s="20"/>
      <c r="N6" s="52"/>
    </row>
    <row r="7" spans="1:14" ht="15.75" customHeight="1" x14ac:dyDescent="0.35">
      <c r="A7" s="326" t="s">
        <v>51</v>
      </c>
      <c r="B7" s="276"/>
      <c r="C7" s="276"/>
      <c r="D7" s="276"/>
      <c r="E7" s="276"/>
      <c r="F7" s="276"/>
      <c r="G7" s="276"/>
      <c r="H7" s="276"/>
      <c r="I7" s="276"/>
      <c r="J7" s="276"/>
      <c r="K7" s="327"/>
      <c r="L7" s="120"/>
      <c r="M7" s="20"/>
      <c r="N7" s="52"/>
    </row>
    <row r="8" spans="1:14" ht="15.75" customHeight="1" x14ac:dyDescent="0.35">
      <c r="A8" s="326" t="s">
        <v>52</v>
      </c>
      <c r="B8" s="276"/>
      <c r="C8" s="276"/>
      <c r="D8" s="276"/>
      <c r="E8" s="276"/>
      <c r="F8" s="276"/>
      <c r="G8" s="276"/>
      <c r="H8" s="276"/>
      <c r="I8" s="276"/>
      <c r="J8" s="276"/>
      <c r="K8" s="327"/>
      <c r="L8" s="120"/>
      <c r="M8" s="20"/>
      <c r="N8" s="52"/>
    </row>
    <row r="9" spans="1:14" ht="15.75" customHeight="1" x14ac:dyDescent="0.35">
      <c r="A9" s="326" t="s">
        <v>53</v>
      </c>
      <c r="B9" s="276"/>
      <c r="C9" s="276"/>
      <c r="D9" s="276"/>
      <c r="E9" s="276"/>
      <c r="F9" s="276"/>
      <c r="G9" s="276"/>
      <c r="H9" s="276"/>
      <c r="I9" s="276"/>
      <c r="J9" s="276"/>
      <c r="K9" s="327"/>
      <c r="L9" s="120"/>
      <c r="M9" s="20"/>
      <c r="N9" s="52"/>
    </row>
    <row r="10" spans="1:14" ht="19.5" customHeight="1" thickBot="1" x14ac:dyDescent="0.4">
      <c r="A10" s="304" t="s">
        <v>54</v>
      </c>
      <c r="B10" s="305"/>
      <c r="C10" s="305"/>
      <c r="D10" s="305"/>
      <c r="E10" s="305"/>
      <c r="F10" s="305"/>
      <c r="G10" s="305"/>
      <c r="H10" s="305"/>
      <c r="I10" s="305"/>
      <c r="J10" s="305"/>
      <c r="K10" s="306"/>
      <c r="L10" s="120"/>
      <c r="M10" s="20"/>
      <c r="N10" s="52"/>
    </row>
    <row r="11" spans="1:14" ht="14.5" customHeight="1" x14ac:dyDescent="0.35">
      <c r="A11" s="230"/>
      <c r="B11" s="231"/>
      <c r="C11" s="231"/>
      <c r="D11" s="231"/>
      <c r="E11" s="231"/>
      <c r="F11" s="231"/>
      <c r="G11" s="231"/>
      <c r="H11" s="231"/>
      <c r="I11" s="231"/>
      <c r="J11" s="231"/>
      <c r="K11" s="231"/>
      <c r="L11" s="20"/>
      <c r="M11" s="20"/>
      <c r="N11" s="52"/>
    </row>
    <row r="12" spans="1:14" ht="40.5" customHeight="1" x14ac:dyDescent="0.35">
      <c r="A12" s="322" t="s">
        <v>55</v>
      </c>
      <c r="B12" s="323"/>
      <c r="C12" s="323"/>
      <c r="D12" s="323"/>
      <c r="E12" s="323"/>
      <c r="F12" s="323"/>
      <c r="G12" s="323"/>
      <c r="H12" s="323"/>
      <c r="I12" s="323"/>
      <c r="J12" s="323"/>
      <c r="K12" s="323"/>
      <c r="L12" s="20"/>
      <c r="M12" s="20"/>
      <c r="N12" s="52"/>
    </row>
    <row r="13" spans="1:14" ht="28.9" customHeight="1" thickBot="1" x14ac:dyDescent="0.4">
      <c r="A13" s="167"/>
      <c r="B13" s="130" t="s">
        <v>56</v>
      </c>
      <c r="C13" s="307" t="s">
        <v>57</v>
      </c>
      <c r="D13" s="20"/>
      <c r="E13" s="20"/>
      <c r="F13" s="20"/>
      <c r="G13" s="20"/>
      <c r="H13" s="20"/>
      <c r="I13" s="20"/>
      <c r="J13" s="20"/>
      <c r="K13" s="20"/>
      <c r="L13" s="20"/>
      <c r="M13" s="20"/>
      <c r="N13" s="52"/>
    </row>
    <row r="14" spans="1:14" ht="15" thickBot="1" x14ac:dyDescent="0.4">
      <c r="A14" s="168" t="s">
        <v>58</v>
      </c>
      <c r="B14" s="193"/>
      <c r="C14" s="308"/>
      <c r="D14" s="20"/>
      <c r="E14" s="20"/>
      <c r="F14" s="20"/>
      <c r="G14" s="20"/>
      <c r="H14" s="20"/>
      <c r="I14" s="20"/>
      <c r="J14" s="20"/>
      <c r="K14" s="20"/>
      <c r="L14" s="20"/>
      <c r="M14" s="20"/>
      <c r="N14" s="52"/>
    </row>
    <row r="15" spans="1:14" x14ac:dyDescent="0.35">
      <c r="A15" s="317" t="s">
        <v>59</v>
      </c>
      <c r="B15" s="324"/>
      <c r="C15" s="195"/>
      <c r="D15" s="20"/>
      <c r="E15" s="20"/>
      <c r="F15" s="20"/>
      <c r="G15" s="20"/>
      <c r="H15" s="20"/>
      <c r="I15" s="20"/>
      <c r="J15" s="20"/>
      <c r="K15" s="20"/>
      <c r="L15" s="20"/>
      <c r="M15" s="20"/>
      <c r="N15" s="52"/>
    </row>
    <row r="16" spans="1:14" x14ac:dyDescent="0.35">
      <c r="A16" s="317" t="s">
        <v>60</v>
      </c>
      <c r="B16" s="318"/>
      <c r="C16" s="196"/>
      <c r="D16" s="20"/>
      <c r="E16" s="20"/>
      <c r="F16" s="20"/>
      <c r="G16" s="20"/>
      <c r="H16" s="20"/>
      <c r="I16" s="20"/>
      <c r="J16" s="20"/>
      <c r="K16" s="20"/>
      <c r="L16" s="20"/>
      <c r="M16" s="20"/>
      <c r="N16" s="52"/>
    </row>
    <row r="17" spans="1:14" x14ac:dyDescent="0.35">
      <c r="A17" s="317" t="s">
        <v>61</v>
      </c>
      <c r="B17" s="318"/>
      <c r="C17" s="196"/>
      <c r="D17" s="20"/>
      <c r="E17" s="20"/>
      <c r="F17" s="20"/>
      <c r="G17" s="20"/>
      <c r="H17" s="20"/>
      <c r="I17" s="20"/>
      <c r="J17" s="20"/>
      <c r="K17" s="20"/>
      <c r="L17" s="20"/>
      <c r="M17" s="20"/>
      <c r="N17" s="52"/>
    </row>
    <row r="18" spans="1:14" ht="15" thickBot="1" x14ac:dyDescent="0.4">
      <c r="A18" s="317" t="s">
        <v>62</v>
      </c>
      <c r="B18" s="325"/>
      <c r="C18" s="196"/>
      <c r="D18" s="20"/>
      <c r="E18" s="20"/>
      <c r="F18" s="20"/>
      <c r="G18" s="20"/>
      <c r="H18" s="20"/>
      <c r="I18" s="20"/>
      <c r="J18" s="20"/>
      <c r="K18" s="20"/>
      <c r="L18" s="20"/>
      <c r="M18" s="20"/>
      <c r="N18" s="52"/>
    </row>
    <row r="19" spans="1:14" ht="15" thickBot="1" x14ac:dyDescent="0.4">
      <c r="A19" s="168" t="s">
        <v>63</v>
      </c>
      <c r="B19" s="194"/>
      <c r="C19" s="110"/>
      <c r="D19" s="20"/>
      <c r="E19" s="20"/>
      <c r="F19" s="20"/>
      <c r="G19" s="20"/>
      <c r="H19" s="20"/>
      <c r="I19" s="20"/>
      <c r="J19" s="20"/>
      <c r="K19" s="20"/>
      <c r="L19" s="20"/>
      <c r="M19" s="20"/>
      <c r="N19" s="52"/>
    </row>
    <row r="20" spans="1:14" x14ac:dyDescent="0.35">
      <c r="A20" s="317" t="s">
        <v>59</v>
      </c>
      <c r="B20" s="324"/>
      <c r="C20" s="196"/>
      <c r="D20" s="20"/>
      <c r="E20" s="20"/>
      <c r="F20" s="20"/>
      <c r="G20" s="20"/>
      <c r="H20" s="20"/>
      <c r="I20" s="20"/>
      <c r="J20" s="20"/>
      <c r="K20" s="20"/>
      <c r="L20" s="20"/>
      <c r="M20" s="20"/>
      <c r="N20" s="52"/>
    </row>
    <row r="21" spans="1:14" x14ac:dyDescent="0.35">
      <c r="A21" s="317" t="s">
        <v>60</v>
      </c>
      <c r="B21" s="318"/>
      <c r="C21" s="196"/>
      <c r="D21" s="20"/>
      <c r="E21" s="20"/>
      <c r="F21" s="20"/>
      <c r="G21" s="20"/>
      <c r="H21" s="20"/>
      <c r="I21" s="20"/>
      <c r="J21" s="20"/>
      <c r="K21" s="20"/>
      <c r="L21" s="20"/>
      <c r="M21" s="20"/>
      <c r="N21" s="52"/>
    </row>
    <row r="22" spans="1:14" x14ac:dyDescent="0.35">
      <c r="A22" s="317" t="s">
        <v>61</v>
      </c>
      <c r="B22" s="318"/>
      <c r="C22" s="196"/>
      <c r="D22" s="20"/>
      <c r="E22" s="20"/>
      <c r="F22" s="20"/>
      <c r="G22" s="20"/>
      <c r="H22" s="20"/>
      <c r="I22" s="20"/>
      <c r="J22" s="20"/>
      <c r="K22" s="20"/>
      <c r="L22" s="20"/>
      <c r="M22" s="20"/>
      <c r="N22" s="52"/>
    </row>
    <row r="23" spans="1:14" x14ac:dyDescent="0.35">
      <c r="A23" s="317" t="s">
        <v>62</v>
      </c>
      <c r="B23" s="318"/>
      <c r="C23" s="196"/>
      <c r="D23" s="20"/>
      <c r="E23" s="20"/>
      <c r="F23" s="20"/>
      <c r="G23" s="20"/>
      <c r="H23" s="20"/>
      <c r="I23" s="20"/>
      <c r="J23" s="20"/>
      <c r="K23" s="20"/>
      <c r="L23" s="20"/>
      <c r="M23" s="20"/>
      <c r="N23" s="52"/>
    </row>
    <row r="24" spans="1:14" x14ac:dyDescent="0.35">
      <c r="A24" s="1"/>
      <c r="B24" s="20"/>
      <c r="C24" s="20"/>
      <c r="D24" s="20"/>
      <c r="E24" s="20"/>
      <c r="F24" s="20"/>
      <c r="G24" s="20"/>
      <c r="H24" s="20"/>
      <c r="I24" s="20"/>
      <c r="J24" s="20"/>
      <c r="K24" s="20"/>
      <c r="L24" s="20"/>
      <c r="M24" s="20"/>
      <c r="N24" s="52"/>
    </row>
    <row r="25" spans="1:14" x14ac:dyDescent="0.35">
      <c r="A25" s="1"/>
      <c r="B25" s="20"/>
      <c r="C25" s="20"/>
      <c r="D25" s="20"/>
      <c r="E25" s="20"/>
      <c r="F25" s="20"/>
      <c r="G25" s="20"/>
      <c r="H25" s="20"/>
      <c r="I25" s="20"/>
      <c r="J25" s="20"/>
      <c r="K25" s="20"/>
      <c r="L25" s="20"/>
      <c r="M25" s="20"/>
      <c r="N25" s="52"/>
    </row>
    <row r="26" spans="1:14" x14ac:dyDescent="0.35">
      <c r="A26" s="169" t="s">
        <v>64</v>
      </c>
      <c r="B26" s="111">
        <f>((C15-C16)*0.785)+((C17-C18)*1.092)</f>
        <v>0</v>
      </c>
      <c r="C26" s="139"/>
      <c r="D26" s="20"/>
      <c r="E26" s="20"/>
      <c r="F26" s="20"/>
      <c r="G26" s="20"/>
      <c r="H26" s="20"/>
      <c r="I26" s="20"/>
      <c r="J26" s="20"/>
      <c r="K26" s="20"/>
      <c r="L26" s="20"/>
      <c r="M26" s="20"/>
      <c r="N26" s="52"/>
    </row>
    <row r="27" spans="1:14" x14ac:dyDescent="0.35">
      <c r="A27" s="169" t="s">
        <v>65</v>
      </c>
      <c r="B27" s="111">
        <f>((C20-C21)*0.785)+((C22-C23)*1.092)</f>
        <v>0</v>
      </c>
      <c r="C27" s="140"/>
      <c r="D27" s="20"/>
      <c r="E27" s="20"/>
      <c r="F27" s="20"/>
      <c r="G27" s="20"/>
      <c r="H27" s="20"/>
      <c r="I27" s="20"/>
      <c r="J27" s="20"/>
      <c r="K27" s="20"/>
      <c r="L27" s="20"/>
      <c r="M27" s="20"/>
      <c r="N27" s="52"/>
    </row>
    <row r="28" spans="1:14" x14ac:dyDescent="0.35">
      <c r="A28" s="169" t="s">
        <v>66</v>
      </c>
      <c r="B28" s="111">
        <f>(B14*B26*(2000/2205))+(B19*B27*(2000/2205))</f>
        <v>0</v>
      </c>
      <c r="C28" s="112" t="s">
        <v>67</v>
      </c>
      <c r="D28" s="20"/>
      <c r="E28" s="20"/>
      <c r="F28" s="20"/>
      <c r="G28" s="20"/>
      <c r="H28" s="20"/>
      <c r="I28" s="20"/>
      <c r="J28" s="20"/>
      <c r="K28" s="20"/>
      <c r="L28" s="20"/>
      <c r="M28" s="20"/>
      <c r="N28" s="52"/>
    </row>
    <row r="29" spans="1:14" x14ac:dyDescent="0.35">
      <c r="A29" s="1"/>
      <c r="B29" s="20"/>
      <c r="C29" s="20"/>
      <c r="D29" s="20"/>
      <c r="E29" s="20"/>
      <c r="F29" s="20"/>
      <c r="G29" s="20"/>
      <c r="H29" s="20"/>
      <c r="I29" s="20"/>
      <c r="J29" s="20"/>
      <c r="K29" s="20"/>
      <c r="L29" s="20"/>
      <c r="M29" s="20"/>
      <c r="N29" s="52"/>
    </row>
    <row r="30" spans="1:14" x14ac:dyDescent="0.35">
      <c r="A30" s="170" t="s">
        <v>68</v>
      </c>
      <c r="B30" s="197"/>
      <c r="C30" s="93" t="s">
        <v>69</v>
      </c>
      <c r="D30" s="20"/>
      <c r="E30" s="20"/>
      <c r="F30" s="20"/>
      <c r="G30" s="20"/>
      <c r="H30" s="20"/>
      <c r="I30" s="20"/>
      <c r="J30" s="20"/>
      <c r="K30" s="20"/>
      <c r="L30" s="20"/>
      <c r="M30" s="20"/>
      <c r="N30" s="52"/>
    </row>
    <row r="31" spans="1:14" x14ac:dyDescent="0.35">
      <c r="A31" s="169" t="s">
        <v>70</v>
      </c>
      <c r="B31" s="94">
        <f>B30*0.002*(44/12)*(2000/2205)</f>
        <v>0</v>
      </c>
      <c r="C31" s="94" t="s">
        <v>67</v>
      </c>
      <c r="D31" s="20"/>
      <c r="E31" s="20"/>
      <c r="F31" s="20"/>
      <c r="G31" s="20"/>
      <c r="H31" s="20"/>
      <c r="I31" s="20"/>
      <c r="J31" s="20"/>
      <c r="K31" s="20"/>
      <c r="L31" s="20"/>
      <c r="M31" s="20"/>
      <c r="N31" s="52"/>
    </row>
    <row r="32" spans="1:14" x14ac:dyDescent="0.35">
      <c r="A32" s="1"/>
      <c r="B32" s="20"/>
      <c r="C32" s="20"/>
      <c r="D32" s="20"/>
      <c r="E32" s="20"/>
      <c r="F32" s="20"/>
      <c r="G32" s="20"/>
      <c r="H32" s="20"/>
      <c r="I32" s="20"/>
      <c r="J32" s="20"/>
      <c r="K32" s="20"/>
      <c r="L32" s="20"/>
      <c r="M32" s="20"/>
      <c r="N32" s="52"/>
    </row>
    <row r="33" spans="1:14" x14ac:dyDescent="0.35">
      <c r="A33" s="171" t="s">
        <v>71</v>
      </c>
      <c r="B33" s="172">
        <f>B28+B31</f>
        <v>0</v>
      </c>
      <c r="C33" s="172" t="s">
        <v>72</v>
      </c>
      <c r="D33" s="20"/>
      <c r="E33" s="20"/>
      <c r="F33" s="20"/>
      <c r="G33" s="20"/>
      <c r="H33" s="20"/>
      <c r="I33" s="20"/>
      <c r="J33" s="20"/>
      <c r="K33" s="20"/>
      <c r="L33" s="20"/>
      <c r="M33" s="20"/>
      <c r="N33" s="52"/>
    </row>
    <row r="34" spans="1:14" x14ac:dyDescent="0.35">
      <c r="A34" s="1"/>
      <c r="B34" s="20"/>
      <c r="C34" s="20"/>
      <c r="D34" s="20"/>
      <c r="E34" s="20"/>
      <c r="F34" s="20"/>
      <c r="G34" s="20"/>
      <c r="H34" s="20"/>
      <c r="I34" s="20"/>
      <c r="J34" s="20"/>
      <c r="K34" s="20"/>
      <c r="L34" s="20"/>
      <c r="M34" s="20"/>
      <c r="N34" s="52"/>
    </row>
    <row r="35" spans="1:14" x14ac:dyDescent="0.35">
      <c r="A35" s="1"/>
      <c r="B35" s="20"/>
      <c r="C35" s="20"/>
      <c r="D35" s="20"/>
      <c r="E35" s="20"/>
      <c r="F35" s="20"/>
      <c r="G35" s="20"/>
      <c r="H35" s="20"/>
      <c r="I35" s="20"/>
      <c r="J35" s="20"/>
      <c r="K35" s="20"/>
      <c r="L35" s="20"/>
      <c r="M35" s="20"/>
      <c r="N35" s="52"/>
    </row>
    <row r="36" spans="1:14" x14ac:dyDescent="0.35">
      <c r="A36" s="1"/>
      <c r="B36" s="20"/>
      <c r="C36" s="20"/>
      <c r="D36" s="20"/>
      <c r="E36" s="20"/>
      <c r="F36" s="20"/>
      <c r="G36" s="20"/>
      <c r="H36" s="20"/>
      <c r="I36" s="20"/>
      <c r="J36" s="20"/>
      <c r="K36" s="20"/>
      <c r="L36" s="20"/>
      <c r="M36" s="20"/>
      <c r="N36" s="52"/>
    </row>
    <row r="37" spans="1:14" ht="15" thickBot="1" x14ac:dyDescent="0.4">
      <c r="A37" s="2"/>
      <c r="B37" s="3"/>
      <c r="C37" s="3"/>
      <c r="D37" s="3"/>
      <c r="E37" s="3"/>
      <c r="F37" s="3"/>
      <c r="G37" s="3"/>
      <c r="H37" s="3"/>
      <c r="I37" s="3"/>
      <c r="J37" s="3"/>
      <c r="K37" s="3"/>
      <c r="L37" s="3"/>
      <c r="M37" s="3"/>
      <c r="N37" s="101"/>
    </row>
  </sheetData>
  <sheetProtection algorithmName="SHA-512" hashValue="hpxZJ7xBIksaqOHFlzlXf/LQhA5z7ZDEPH3aCBpmh2occZnge71yBfCCjXMpKviCIvmjzenfLTi4PCLVMiIxQw==" saltValue="6P3fwrSbiLGY1A6nXMGQlg==" spinCount="100000" sheet="1" objects="1" scenarios="1"/>
  <mergeCells count="18">
    <mergeCell ref="A22:B22"/>
    <mergeCell ref="A23:B23"/>
    <mergeCell ref="A6:K6"/>
    <mergeCell ref="A12:K12"/>
    <mergeCell ref="A15:B15"/>
    <mergeCell ref="A16:B16"/>
    <mergeCell ref="A17:B17"/>
    <mergeCell ref="A18:B18"/>
    <mergeCell ref="A20:B20"/>
    <mergeCell ref="A21:B21"/>
    <mergeCell ref="A7:K7"/>
    <mergeCell ref="A8:K8"/>
    <mergeCell ref="A9:K9"/>
    <mergeCell ref="A10:K10"/>
    <mergeCell ref="C13:C14"/>
    <mergeCell ref="A1:K1"/>
    <mergeCell ref="A3:K3"/>
    <mergeCell ref="A4:K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B18A-94CD-4B07-8294-F4C2BC398D42}">
  <dimension ref="A1:P39"/>
  <sheetViews>
    <sheetView showGridLines="0" zoomScaleNormal="100" workbookViewId="0">
      <selection activeCell="F19" sqref="F19"/>
    </sheetView>
  </sheetViews>
  <sheetFormatPr defaultRowHeight="14.5" x14ac:dyDescent="0.35"/>
  <cols>
    <col min="1" max="1" width="32.26953125" customWidth="1"/>
    <col min="2" max="2" width="22.54296875" customWidth="1"/>
    <col min="3" max="3" width="21.453125" customWidth="1"/>
    <col min="4" max="4" width="23.81640625" customWidth="1"/>
    <col min="5" max="6" width="21.453125" customWidth="1"/>
    <col min="7" max="7" width="21.453125" style="28" customWidth="1"/>
    <col min="8" max="16" width="8.81640625" style="28"/>
  </cols>
  <sheetData>
    <row r="1" spans="1:11" ht="25.9" customHeight="1" x14ac:dyDescent="0.6">
      <c r="A1" s="328" t="s">
        <v>73</v>
      </c>
      <c r="B1" s="329"/>
      <c r="C1" s="329"/>
      <c r="D1" s="329"/>
      <c r="E1" s="329"/>
      <c r="F1" s="329"/>
      <c r="G1" s="149"/>
    </row>
    <row r="2" spans="1:11" ht="14.5" customHeight="1" x14ac:dyDescent="0.55000000000000004">
      <c r="A2" s="330"/>
      <c r="B2" s="331"/>
      <c r="C2" s="331"/>
      <c r="D2" s="331"/>
      <c r="E2" s="331"/>
      <c r="F2" s="331"/>
      <c r="G2" s="150"/>
    </row>
    <row r="3" spans="1:11" ht="14.5" customHeight="1" x14ac:dyDescent="0.35">
      <c r="A3" s="311" t="s">
        <v>13</v>
      </c>
      <c r="B3" s="312"/>
      <c r="C3" s="312"/>
      <c r="D3" s="312"/>
      <c r="E3" s="312"/>
      <c r="F3" s="313"/>
      <c r="G3" s="143"/>
      <c r="H3" s="119"/>
      <c r="I3" s="119"/>
      <c r="J3" s="119"/>
      <c r="K3" s="119"/>
    </row>
    <row r="4" spans="1:11" ht="37.5" customHeight="1" x14ac:dyDescent="0.35">
      <c r="A4" s="314" t="s">
        <v>50</v>
      </c>
      <c r="B4" s="315"/>
      <c r="C4" s="315"/>
      <c r="D4" s="315"/>
      <c r="E4" s="315"/>
      <c r="F4" s="316"/>
      <c r="G4" s="117"/>
      <c r="H4" s="116"/>
      <c r="I4" s="116"/>
      <c r="J4" s="116"/>
      <c r="K4" s="116"/>
    </row>
    <row r="5" spans="1:11" ht="14.5" customHeight="1" x14ac:dyDescent="0.55000000000000004">
      <c r="A5" s="232"/>
      <c r="B5" s="233"/>
      <c r="C5" s="233"/>
      <c r="D5" s="233"/>
      <c r="E5" s="233"/>
      <c r="F5" s="233"/>
      <c r="G5" s="150"/>
    </row>
    <row r="6" spans="1:11" ht="18.75" customHeight="1" x14ac:dyDescent="0.35">
      <c r="A6" s="115" t="s">
        <v>14</v>
      </c>
      <c r="B6" s="113"/>
      <c r="C6" s="113"/>
      <c r="D6" s="113"/>
      <c r="E6" s="113"/>
      <c r="F6" s="114"/>
      <c r="G6" s="150"/>
    </row>
    <row r="7" spans="1:11" ht="18.75" customHeight="1" x14ac:dyDescent="0.35">
      <c r="A7" s="332" t="s">
        <v>74</v>
      </c>
      <c r="B7" s="273"/>
      <c r="C7" s="273"/>
      <c r="D7" s="273"/>
      <c r="E7" s="273"/>
      <c r="F7" s="333"/>
      <c r="G7" s="150"/>
    </row>
    <row r="8" spans="1:11" ht="18.75" customHeight="1" thickBot="1" x14ac:dyDescent="0.4">
      <c r="A8" s="334" t="s">
        <v>75</v>
      </c>
      <c r="B8" s="335"/>
      <c r="C8" s="335"/>
      <c r="D8" s="335"/>
      <c r="E8" s="335"/>
      <c r="F8" s="336"/>
      <c r="G8" s="150"/>
    </row>
    <row r="9" spans="1:11" ht="15" thickBot="1" x14ac:dyDescent="0.4">
      <c r="A9" s="151"/>
      <c r="B9" s="120"/>
      <c r="C9" s="120"/>
      <c r="D9" s="120"/>
      <c r="E9" s="120"/>
      <c r="F9" s="120"/>
      <c r="G9" s="150"/>
    </row>
    <row r="10" spans="1:11" ht="43.5" x14ac:dyDescent="0.35">
      <c r="A10" s="122" t="s">
        <v>76</v>
      </c>
      <c r="B10" s="123" t="s">
        <v>77</v>
      </c>
      <c r="C10" s="123" t="s">
        <v>78</v>
      </c>
      <c r="D10" s="124" t="s">
        <v>79</v>
      </c>
      <c r="E10" s="125" t="s">
        <v>80</v>
      </c>
      <c r="F10" s="20"/>
      <c r="G10" s="150"/>
    </row>
    <row r="11" spans="1:11" ht="15.65" customHeight="1" x14ac:dyDescent="0.45">
      <c r="A11" s="131" t="s">
        <v>81</v>
      </c>
      <c r="B11" s="95">
        <v>1</v>
      </c>
      <c r="C11" s="198"/>
      <c r="D11" s="96">
        <v>0.44</v>
      </c>
      <c r="E11" s="126">
        <v>1</v>
      </c>
      <c r="F11" s="20"/>
      <c r="G11" s="150"/>
    </row>
    <row r="12" spans="1:11" ht="15.65" customHeight="1" x14ac:dyDescent="0.45">
      <c r="A12" s="131" t="s">
        <v>82</v>
      </c>
      <c r="B12" s="95">
        <v>1</v>
      </c>
      <c r="C12" s="198"/>
      <c r="D12" s="97">
        <v>0.47699999999999998</v>
      </c>
      <c r="E12" s="126">
        <v>1</v>
      </c>
      <c r="F12" s="20"/>
      <c r="G12" s="150"/>
    </row>
    <row r="13" spans="1:11" ht="15.65" customHeight="1" x14ac:dyDescent="0.45">
      <c r="A13" s="131" t="s">
        <v>83</v>
      </c>
      <c r="B13" s="95">
        <v>1</v>
      </c>
      <c r="C13" s="198"/>
      <c r="D13" s="97">
        <v>0.41499999999999998</v>
      </c>
      <c r="E13" s="126">
        <v>1</v>
      </c>
      <c r="F13" s="20"/>
      <c r="G13" s="150"/>
    </row>
    <row r="14" spans="1:11" ht="15.65" customHeight="1" x14ac:dyDescent="0.45">
      <c r="A14" s="131" t="s">
        <v>84</v>
      </c>
      <c r="B14" s="95">
        <v>1</v>
      </c>
      <c r="C14" s="198"/>
      <c r="D14" s="97">
        <v>0.223</v>
      </c>
      <c r="E14" s="126">
        <v>1</v>
      </c>
      <c r="F14" s="20"/>
      <c r="G14" s="150"/>
    </row>
    <row r="15" spans="1:11" ht="15.65" customHeight="1" x14ac:dyDescent="0.45">
      <c r="A15" s="131" t="s">
        <v>85</v>
      </c>
      <c r="B15" s="95">
        <v>1</v>
      </c>
      <c r="C15" s="198"/>
      <c r="D15" s="97">
        <v>0.318</v>
      </c>
      <c r="E15" s="126">
        <v>1</v>
      </c>
      <c r="F15" s="20"/>
      <c r="G15" s="150"/>
    </row>
    <row r="16" spans="1:11" ht="15.65" customHeight="1" x14ac:dyDescent="0.45">
      <c r="A16" s="131" t="s">
        <v>86</v>
      </c>
      <c r="B16" s="95">
        <v>1</v>
      </c>
      <c r="C16" s="198"/>
      <c r="D16" s="97">
        <v>0.59599999999999997</v>
      </c>
      <c r="E16" s="126">
        <v>1</v>
      </c>
      <c r="F16" s="20"/>
      <c r="G16" s="150"/>
    </row>
    <row r="17" spans="1:7" ht="15.65" customHeight="1" thickBot="1" x14ac:dyDescent="0.5">
      <c r="A17" s="132" t="s">
        <v>87</v>
      </c>
      <c r="B17" s="127">
        <v>1</v>
      </c>
      <c r="C17" s="199"/>
      <c r="D17" s="128">
        <v>0.29799999999999999</v>
      </c>
      <c r="E17" s="129">
        <v>1</v>
      </c>
      <c r="F17" s="20"/>
      <c r="G17" s="150"/>
    </row>
    <row r="18" spans="1:7" x14ac:dyDescent="0.35">
      <c r="A18" s="151"/>
      <c r="B18" s="57"/>
      <c r="C18" s="57"/>
      <c r="D18" s="57"/>
      <c r="E18" s="57"/>
      <c r="F18" s="57"/>
      <c r="G18" s="150"/>
    </row>
    <row r="19" spans="1:7" x14ac:dyDescent="0.35">
      <c r="A19" s="151"/>
      <c r="B19" s="57"/>
      <c r="C19" s="57"/>
      <c r="D19" s="57"/>
      <c r="E19" s="57"/>
      <c r="F19" s="57"/>
      <c r="G19" s="150"/>
    </row>
    <row r="20" spans="1:7" x14ac:dyDescent="0.35">
      <c r="A20" s="151"/>
      <c r="B20" s="57"/>
      <c r="C20" s="57"/>
      <c r="D20" s="57"/>
      <c r="E20" s="57"/>
      <c r="F20" s="57"/>
      <c r="G20" s="150"/>
    </row>
    <row r="21" spans="1:7" x14ac:dyDescent="0.35">
      <c r="A21" s="152" t="s">
        <v>88</v>
      </c>
      <c r="B21" s="120"/>
      <c r="C21" s="20"/>
      <c r="D21" s="120"/>
      <c r="E21" s="120"/>
      <c r="F21" s="120"/>
      <c r="G21" s="150"/>
    </row>
    <row r="22" spans="1:7" ht="28.9" customHeight="1" x14ac:dyDescent="0.35">
      <c r="A22" s="153" t="s">
        <v>89</v>
      </c>
      <c r="B22" s="121">
        <f>2000/2205</f>
        <v>0.90702947845804993</v>
      </c>
      <c r="C22" s="20"/>
      <c r="D22" s="20"/>
      <c r="E22" s="20"/>
      <c r="F22" s="20"/>
      <c r="G22" s="150"/>
    </row>
    <row r="23" spans="1:7" x14ac:dyDescent="0.35">
      <c r="A23" s="151"/>
      <c r="B23" s="120"/>
      <c r="C23" s="120"/>
      <c r="D23" s="120"/>
      <c r="E23" s="120"/>
      <c r="F23" s="120"/>
      <c r="G23" s="150"/>
    </row>
    <row r="24" spans="1:7" x14ac:dyDescent="0.35">
      <c r="A24" s="151"/>
      <c r="B24" s="120"/>
      <c r="C24" s="120"/>
      <c r="D24" s="120"/>
      <c r="E24" s="120"/>
      <c r="F24" s="120"/>
      <c r="G24" s="150"/>
    </row>
    <row r="25" spans="1:7" x14ac:dyDescent="0.35">
      <c r="A25" s="151"/>
      <c r="B25" s="120"/>
      <c r="C25" s="120"/>
      <c r="D25" s="120"/>
      <c r="E25" s="120"/>
      <c r="F25" s="120"/>
      <c r="G25" s="150"/>
    </row>
    <row r="26" spans="1:7" ht="15.65" customHeight="1" x14ac:dyDescent="0.35">
      <c r="A26" s="154" t="s">
        <v>90</v>
      </c>
      <c r="B26" s="98">
        <f>SUMPRODUCT(B11:B17,C11:C17,D11:D17,E11:E17)*B22</f>
        <v>0</v>
      </c>
      <c r="C26" s="20"/>
      <c r="D26" s="20"/>
      <c r="E26" s="20"/>
      <c r="F26" s="20"/>
      <c r="G26" s="150"/>
    </row>
    <row r="27" spans="1:7" x14ac:dyDescent="0.35">
      <c r="A27" s="151"/>
      <c r="B27" s="20"/>
      <c r="C27" s="20"/>
      <c r="D27" s="20"/>
      <c r="E27" s="20"/>
      <c r="F27" s="20"/>
      <c r="G27" s="150"/>
    </row>
    <row r="28" spans="1:7" x14ac:dyDescent="0.35">
      <c r="A28" s="151"/>
      <c r="B28" s="20"/>
      <c r="C28" s="20"/>
      <c r="D28" s="20"/>
      <c r="E28" s="20"/>
      <c r="F28" s="20"/>
      <c r="G28" s="150"/>
    </row>
    <row r="29" spans="1:7" x14ac:dyDescent="0.35">
      <c r="A29" s="151"/>
      <c r="B29" s="20"/>
      <c r="C29" s="20"/>
      <c r="D29" s="20"/>
      <c r="E29" s="20"/>
      <c r="F29" s="20"/>
      <c r="G29" s="150"/>
    </row>
    <row r="30" spans="1:7" x14ac:dyDescent="0.35">
      <c r="A30" s="151"/>
      <c r="B30" s="20"/>
      <c r="C30" s="20"/>
      <c r="D30" s="20"/>
      <c r="E30" s="20"/>
      <c r="F30" s="20"/>
      <c r="G30" s="150"/>
    </row>
    <row r="31" spans="1:7" ht="15" thickBot="1" x14ac:dyDescent="0.4">
      <c r="A31" s="155"/>
      <c r="B31" s="3"/>
      <c r="C31" s="3"/>
      <c r="D31" s="3"/>
      <c r="E31" s="3"/>
      <c r="F31" s="3"/>
      <c r="G31" s="156"/>
    </row>
    <row r="32" spans="1:7" x14ac:dyDescent="0.35">
      <c r="A32" s="28"/>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sheetData>
  <sheetProtection algorithmName="SHA-512" hashValue="CCEYYHQJHZDt1/H/xPLgIMCBWjfgHycT7fjX5OYPGEmqeLhqkhfPKUwMVDZ8O8FdA1BJG4ELpXlGhjCK/ycsGA==" saltValue="7tii0EvP6c/z1TGUsVRyiw==" spinCount="100000" sheet="1" objects="1" scenarios="1"/>
  <mergeCells count="6">
    <mergeCell ref="A1:F1"/>
    <mergeCell ref="A2:F2"/>
    <mergeCell ref="A7:F7"/>
    <mergeCell ref="A8:F8"/>
    <mergeCell ref="A3:F3"/>
    <mergeCell ref="A4:F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E4907-A35B-4A3B-B06A-0D0FC820FA9F}">
  <dimension ref="A1:K65"/>
  <sheetViews>
    <sheetView showGridLines="0" workbookViewId="0">
      <selection activeCell="A31" sqref="A31"/>
    </sheetView>
  </sheetViews>
  <sheetFormatPr defaultRowHeight="14.5" x14ac:dyDescent="0.35"/>
  <cols>
    <col min="1" max="1" width="33.1796875" customWidth="1"/>
    <col min="2" max="2" width="19.7265625" customWidth="1"/>
    <col min="3" max="3" width="21.54296875" customWidth="1"/>
    <col min="4" max="4" width="18.1796875" customWidth="1"/>
    <col min="5" max="5" width="16.7265625" customWidth="1"/>
    <col min="6" max="6" width="15.54296875" customWidth="1"/>
  </cols>
  <sheetData>
    <row r="1" spans="1:11" ht="25.9" customHeight="1" x14ac:dyDescent="0.6">
      <c r="A1" s="309" t="s">
        <v>9</v>
      </c>
      <c r="B1" s="310"/>
      <c r="C1" s="310"/>
      <c r="D1" s="310"/>
      <c r="E1" s="310"/>
      <c r="F1" s="310"/>
      <c r="G1" s="99"/>
      <c r="H1" s="100"/>
    </row>
    <row r="2" spans="1:11" x14ac:dyDescent="0.35">
      <c r="A2" s="1"/>
      <c r="B2" s="20"/>
      <c r="C2" s="20"/>
      <c r="D2" s="20"/>
      <c r="E2" s="20"/>
      <c r="F2" s="20"/>
      <c r="G2" s="20"/>
      <c r="H2" s="52"/>
    </row>
    <row r="3" spans="1:11" x14ac:dyDescent="0.35">
      <c r="A3" s="311" t="s">
        <v>13</v>
      </c>
      <c r="B3" s="312"/>
      <c r="C3" s="312"/>
      <c r="D3" s="312"/>
      <c r="E3" s="312"/>
      <c r="F3" s="313"/>
      <c r="G3" s="119"/>
      <c r="H3" s="143"/>
      <c r="I3" s="119"/>
      <c r="J3" s="119"/>
      <c r="K3" s="119"/>
    </row>
    <row r="4" spans="1:11" ht="33" customHeight="1" x14ac:dyDescent="0.35">
      <c r="A4" s="314" t="s">
        <v>91</v>
      </c>
      <c r="B4" s="315"/>
      <c r="C4" s="315"/>
      <c r="D4" s="315"/>
      <c r="E4" s="315"/>
      <c r="F4" s="316"/>
      <c r="G4" s="116"/>
      <c r="H4" s="117"/>
      <c r="I4" s="116"/>
      <c r="J4" s="116"/>
      <c r="K4" s="116"/>
    </row>
    <row r="5" spans="1:11" ht="15" customHeight="1" x14ac:dyDescent="0.35">
      <c r="A5" s="141"/>
      <c r="B5" s="142"/>
      <c r="C5" s="142"/>
      <c r="D5" s="142"/>
      <c r="E5" s="142"/>
      <c r="F5" s="142"/>
      <c r="G5" s="142"/>
      <c r="H5" s="144"/>
      <c r="I5" s="142"/>
      <c r="J5" s="142"/>
      <c r="K5" s="142"/>
    </row>
    <row r="6" spans="1:11" x14ac:dyDescent="0.35">
      <c r="A6" s="115" t="s">
        <v>14</v>
      </c>
      <c r="B6" s="113"/>
      <c r="C6" s="113"/>
      <c r="D6" s="113"/>
      <c r="E6" s="113"/>
      <c r="F6" s="114"/>
      <c r="G6" s="20"/>
      <c r="H6" s="52"/>
    </row>
    <row r="7" spans="1:11" ht="18.75" customHeight="1" x14ac:dyDescent="0.35">
      <c r="A7" s="332" t="s">
        <v>92</v>
      </c>
      <c r="B7" s="273"/>
      <c r="C7" s="273"/>
      <c r="D7" s="273"/>
      <c r="E7" s="273"/>
      <c r="F7" s="333"/>
      <c r="G7" s="20"/>
      <c r="H7" s="52"/>
    </row>
    <row r="8" spans="1:11" ht="32.25" customHeight="1" x14ac:dyDescent="0.35">
      <c r="A8" s="286" t="s">
        <v>93</v>
      </c>
      <c r="B8" s="299"/>
      <c r="C8" s="299"/>
      <c r="D8" s="299"/>
      <c r="E8" s="299"/>
      <c r="F8" s="288"/>
      <c r="G8" s="20"/>
      <c r="H8" s="52"/>
    </row>
    <row r="9" spans="1:11" ht="32.25" customHeight="1" thickBot="1" x14ac:dyDescent="0.4">
      <c r="A9" s="339" t="s">
        <v>94</v>
      </c>
      <c r="B9" s="340"/>
      <c r="C9" s="340"/>
      <c r="D9" s="340"/>
      <c r="E9" s="340"/>
      <c r="F9" s="341"/>
      <c r="G9" s="57"/>
      <c r="H9" s="58"/>
      <c r="I9" s="19"/>
      <c r="J9" s="19"/>
    </row>
    <row r="10" spans="1:11" x14ac:dyDescent="0.35">
      <c r="A10" s="1"/>
      <c r="B10" s="20"/>
      <c r="C10" s="20"/>
      <c r="D10" s="20"/>
      <c r="E10" s="20"/>
      <c r="F10" s="20"/>
      <c r="G10" s="20"/>
      <c r="H10" s="52"/>
    </row>
    <row r="11" spans="1:11" ht="18.5" x14ac:dyDescent="0.45">
      <c r="A11" s="337" t="s">
        <v>95</v>
      </c>
      <c r="B11" s="338"/>
      <c r="C11" s="338"/>
      <c r="D11" s="338"/>
      <c r="E11" s="20"/>
      <c r="F11" s="20"/>
      <c r="G11" s="20"/>
      <c r="H11" s="52"/>
    </row>
    <row r="12" spans="1:11" x14ac:dyDescent="0.35">
      <c r="A12" s="1"/>
      <c r="B12" s="20"/>
      <c r="C12" s="20"/>
      <c r="D12" s="20"/>
      <c r="E12" s="20"/>
      <c r="F12" s="20"/>
      <c r="G12" s="20"/>
      <c r="H12" s="52"/>
    </row>
    <row r="13" spans="1:11" x14ac:dyDescent="0.35">
      <c r="A13" s="145" t="s">
        <v>96</v>
      </c>
      <c r="B13" s="205"/>
      <c r="C13" s="20"/>
      <c r="D13" s="20"/>
      <c r="E13" s="20"/>
      <c r="F13" s="20"/>
      <c r="G13" s="20"/>
      <c r="H13" s="52"/>
    </row>
    <row r="14" spans="1:11" x14ac:dyDescent="0.35">
      <c r="A14" s="145" t="s">
        <v>97</v>
      </c>
      <c r="B14" s="103">
        <f>B13*12</f>
        <v>0</v>
      </c>
      <c r="C14" s="20"/>
      <c r="D14" s="20"/>
      <c r="E14" s="20"/>
      <c r="F14" s="20"/>
      <c r="G14" s="20"/>
      <c r="H14" s="52"/>
    </row>
    <row r="15" spans="1:11" x14ac:dyDescent="0.35">
      <c r="A15" s="1"/>
      <c r="B15" s="20"/>
      <c r="C15" s="20"/>
      <c r="D15" s="20"/>
      <c r="E15" s="20"/>
      <c r="F15" s="20"/>
      <c r="G15" s="20"/>
      <c r="H15" s="52"/>
    </row>
    <row r="16" spans="1:11" x14ac:dyDescent="0.35">
      <c r="A16" s="146" t="s">
        <v>98</v>
      </c>
      <c r="B16" s="105" t="s">
        <v>99</v>
      </c>
      <c r="C16" s="106" t="s">
        <v>100</v>
      </c>
      <c r="D16" s="105" t="s">
        <v>101</v>
      </c>
      <c r="E16" s="20"/>
      <c r="F16" s="20"/>
      <c r="G16" s="20"/>
      <c r="H16" s="52"/>
    </row>
    <row r="17" spans="1:8" x14ac:dyDescent="0.35">
      <c r="A17" s="200"/>
      <c r="B17" s="5" t="str">
        <f>IFERROR(VLOOKUP(Table5[[#This Row],[F-gas type]], Table9[#All], 2,FALSE), "")</f>
        <v/>
      </c>
      <c r="C17" s="5" t="str">
        <f>IFERROR(VLOOKUP(Table5[[#This Row],[F-gas type]], Table9[#All], 3,FALSE), "")</f>
        <v/>
      </c>
      <c r="D17" s="5" t="str">
        <f>IFERROR((Table5[[#This Row],[EF]]*Table5[[#This Row],[GWP]]*B14*0.001)," ")</f>
        <v xml:space="preserve"> </v>
      </c>
      <c r="E17" s="20"/>
      <c r="F17" s="20"/>
      <c r="G17" s="20"/>
      <c r="H17" s="52"/>
    </row>
    <row r="18" spans="1:8" s="161" customFormat="1" x14ac:dyDescent="0.35">
      <c r="A18" s="201"/>
      <c r="B18" s="185" t="str">
        <f>IFERROR(VLOOKUP(Table5[[#This Row],[F-gas type]], Table9[#All], 2,FALSE), "")</f>
        <v/>
      </c>
      <c r="C18" s="185" t="str">
        <f>IFERROR(VLOOKUP(Table5[[#This Row],[F-gas type]], Table9[#All], 3,FALSE), "")</f>
        <v/>
      </c>
      <c r="D18" s="185" t="str">
        <f>IFERROR((Table5[[#This Row],[EF]]*Table5[[#This Row],[GWP]]*B15*0.001)," ")</f>
        <v xml:space="preserve"> </v>
      </c>
      <c r="E18" s="71"/>
      <c r="F18" s="71"/>
      <c r="G18" s="71"/>
      <c r="H18" s="72"/>
    </row>
    <row r="19" spans="1:8" x14ac:dyDescent="0.35">
      <c r="A19" s="200"/>
      <c r="B19" s="5" t="str">
        <f>IFERROR(VLOOKUP(Table5[[#This Row],[F-gas type]], Table9[#All], 2,FALSE), "")</f>
        <v/>
      </c>
      <c r="C19" s="5" t="str">
        <f>IFERROR(VLOOKUP(Table5[[#This Row],[F-gas type]], Table9[#All], 3,FALSE), "")</f>
        <v/>
      </c>
      <c r="D19" s="5" t="str">
        <f>IFERROR((Table5[[#This Row],[EF]]*Table5[[#This Row],[GWP]]*B16*0.001)," ")</f>
        <v xml:space="preserve"> </v>
      </c>
      <c r="E19" s="20"/>
      <c r="F19" s="20"/>
      <c r="G19" s="20"/>
      <c r="H19" s="52"/>
    </row>
    <row r="20" spans="1:8" s="161" customFormat="1" x14ac:dyDescent="0.35">
      <c r="A20" s="201"/>
      <c r="B20" s="185" t="str">
        <f>IFERROR(VLOOKUP(Table5[[#This Row],[F-gas type]], Table9[#All], 2,FALSE), "")</f>
        <v/>
      </c>
      <c r="C20" s="185" t="str">
        <f>IFERROR(VLOOKUP(Table5[[#This Row],[F-gas type]], Table9[#All], 3,FALSE), "")</f>
        <v/>
      </c>
      <c r="D20" s="185" t="str">
        <f>IFERROR((Table5[[#This Row],[EF]]*Table5[[#This Row],[GWP]]*B17*0.001)," ")</f>
        <v xml:space="preserve"> </v>
      </c>
      <c r="E20" s="71"/>
      <c r="F20" s="71"/>
      <c r="G20" s="71"/>
      <c r="H20" s="72"/>
    </row>
    <row r="21" spans="1:8" x14ac:dyDescent="0.35">
      <c r="A21" s="200"/>
      <c r="B21" s="5" t="str">
        <f>IFERROR(VLOOKUP(Table5[[#This Row],[F-gas type]], Table9[#All], 2,FALSE), "")</f>
        <v/>
      </c>
      <c r="C21" s="5" t="str">
        <f>IFERROR(VLOOKUP(Table5[[#This Row],[F-gas type]], Table9[#All], 3,FALSE), "")</f>
        <v/>
      </c>
      <c r="D21" s="5" t="str">
        <f>IFERROR((Table5[[#This Row],[EF]]*Table5[[#This Row],[GWP]]*B18*0.001)," ")</f>
        <v xml:space="preserve"> </v>
      </c>
      <c r="E21" s="20"/>
      <c r="F21" s="20"/>
      <c r="G21" s="20"/>
      <c r="H21" s="52"/>
    </row>
    <row r="22" spans="1:8" s="161" customFormat="1" x14ac:dyDescent="0.35">
      <c r="A22" s="202"/>
      <c r="B22" s="186" t="str">
        <f>IFERROR(VLOOKUP(Table5[[#This Row],[F-gas type]], Table9[#All], 2,FALSE), "")</f>
        <v/>
      </c>
      <c r="C22" s="185" t="str">
        <f>IFERROR(VLOOKUP(Table5[[#This Row],[F-gas type]], Table9[#All], 3,FALSE), "")</f>
        <v/>
      </c>
      <c r="D22" s="185" t="str">
        <f>IFERROR((Table5[[#This Row],[EF]]*Table5[[#This Row],[GWP]]*B19*0.001)," ")</f>
        <v xml:space="preserve"> </v>
      </c>
      <c r="E22" s="71"/>
      <c r="F22" s="71"/>
      <c r="G22" s="71"/>
      <c r="H22" s="72"/>
    </row>
    <row r="23" spans="1:8" x14ac:dyDescent="0.35">
      <c r="A23" s="70"/>
      <c r="B23" s="71"/>
      <c r="C23" s="71"/>
      <c r="D23" s="20">
        <f>1.1*SUM(Table5[Ei])</f>
        <v>0</v>
      </c>
      <c r="E23" s="20"/>
      <c r="F23" s="20"/>
      <c r="G23" s="20"/>
      <c r="H23" s="52"/>
    </row>
    <row r="24" spans="1:8" x14ac:dyDescent="0.35">
      <c r="A24" s="70"/>
      <c r="B24" s="71"/>
      <c r="C24" s="71"/>
      <c r="D24" s="20"/>
      <c r="E24" s="20"/>
      <c r="F24" s="20"/>
      <c r="G24" s="20"/>
      <c r="H24" s="52"/>
    </row>
    <row r="25" spans="1:8" ht="18.5" x14ac:dyDescent="0.45">
      <c r="A25" s="337" t="s">
        <v>103</v>
      </c>
      <c r="B25" s="338"/>
      <c r="C25" s="338"/>
      <c r="D25" s="338"/>
      <c r="E25" s="20"/>
      <c r="F25" s="20"/>
      <c r="G25" s="20"/>
      <c r="H25" s="52"/>
    </row>
    <row r="26" spans="1:8" x14ac:dyDescent="0.35">
      <c r="A26" s="1"/>
      <c r="B26" s="20"/>
      <c r="C26" s="20"/>
      <c r="D26" s="20"/>
      <c r="E26" s="20"/>
      <c r="F26" s="20"/>
      <c r="G26" s="20"/>
      <c r="H26" s="52"/>
    </row>
    <row r="27" spans="1:8" x14ac:dyDescent="0.35">
      <c r="A27" s="145" t="s">
        <v>96</v>
      </c>
      <c r="B27" s="205"/>
      <c r="C27" s="20"/>
      <c r="D27" s="20"/>
      <c r="E27" s="20"/>
      <c r="F27" s="20"/>
      <c r="G27" s="20"/>
      <c r="H27" s="52"/>
    </row>
    <row r="28" spans="1:8" x14ac:dyDescent="0.35">
      <c r="A28" s="145" t="s">
        <v>97</v>
      </c>
      <c r="B28" s="103">
        <f>B27*12</f>
        <v>0</v>
      </c>
      <c r="C28" s="20"/>
      <c r="D28" s="20"/>
      <c r="E28" s="20"/>
      <c r="F28" s="20"/>
      <c r="G28" s="20"/>
      <c r="H28" s="52"/>
    </row>
    <row r="29" spans="1:8" x14ac:dyDescent="0.35">
      <c r="A29" s="1"/>
      <c r="B29" s="20"/>
      <c r="C29" s="20"/>
      <c r="D29" s="20"/>
      <c r="E29" s="20"/>
      <c r="F29" s="71"/>
      <c r="G29" s="20"/>
      <c r="H29" s="52"/>
    </row>
    <row r="30" spans="1:8" x14ac:dyDescent="0.35">
      <c r="A30" s="146" t="s">
        <v>98</v>
      </c>
      <c r="B30" s="105" t="s">
        <v>99</v>
      </c>
      <c r="C30" s="106" t="s">
        <v>100</v>
      </c>
      <c r="D30" s="105" t="s">
        <v>101</v>
      </c>
      <c r="E30" s="20"/>
      <c r="F30" s="20"/>
      <c r="G30" s="20"/>
      <c r="H30" s="52"/>
    </row>
    <row r="31" spans="1:8" x14ac:dyDescent="0.35">
      <c r="A31" s="200"/>
      <c r="B31" s="5" t="str">
        <f>IFERROR(VLOOKUP(Table6[[#This Row],[F-gas type]], Table11[#All], 2,FALSE), "")</f>
        <v/>
      </c>
      <c r="C31" s="66" t="str">
        <f>IFERROR(VLOOKUP(Table6[[#This Row],[F-gas type]], Table11[#All], 3,FALSE), "")</f>
        <v/>
      </c>
      <c r="D31" s="5" t="str">
        <f>IFERROR((Table6[[#This Row],[EF]]*Table6[[#This Row],[GWP]]*0.001*B27)," ")</f>
        <v xml:space="preserve"> </v>
      </c>
      <c r="E31" s="20"/>
      <c r="F31" s="20"/>
      <c r="G31" s="20"/>
      <c r="H31" s="52"/>
    </row>
    <row r="32" spans="1:8" s="161" customFormat="1" x14ac:dyDescent="0.35">
      <c r="A32" s="201"/>
      <c r="B32" s="185" t="str">
        <f>IFERROR(VLOOKUP(Table6[[#This Row],[F-gas type]], Table11[#All], 2,FALSE), "")</f>
        <v/>
      </c>
      <c r="C32" s="184" t="str">
        <f>IFERROR(VLOOKUP(Table6[[#This Row],[F-gas type]], Table11[#All], 3,FALSE), "")</f>
        <v/>
      </c>
      <c r="D32" s="185" t="str">
        <f>IFERROR((Table6[[#This Row],[EF]]*Table6[[#This Row],[GWP]]*0.001*B28)," ")</f>
        <v xml:space="preserve"> </v>
      </c>
      <c r="E32" s="71"/>
      <c r="F32" s="71"/>
      <c r="G32" s="71"/>
      <c r="H32" s="72"/>
    </row>
    <row r="33" spans="1:8" x14ac:dyDescent="0.35">
      <c r="A33" s="200"/>
      <c r="B33" s="5" t="str">
        <f>IFERROR(VLOOKUP(Table6[[#This Row],[F-gas type]], Table11[#All], 2,FALSE), "")</f>
        <v/>
      </c>
      <c r="C33" s="66" t="str">
        <f>IFERROR(VLOOKUP(Table6[[#This Row],[F-gas type]], Table11[#All], 3,FALSE), "")</f>
        <v/>
      </c>
      <c r="D33" s="5" t="str">
        <f>IFERROR((Table6[[#This Row],[EF]]*Table6[[#This Row],[GWP]]*0.001*B29)," ")</f>
        <v xml:space="preserve"> </v>
      </c>
      <c r="E33" s="20"/>
      <c r="F33" s="20"/>
      <c r="G33" s="20"/>
      <c r="H33" s="52"/>
    </row>
    <row r="34" spans="1:8" x14ac:dyDescent="0.35">
      <c r="A34" s="1"/>
      <c r="B34" s="20"/>
      <c r="C34" s="20"/>
      <c r="D34" s="20">
        <f>SUM(Table6[Ei])</f>
        <v>0</v>
      </c>
      <c r="E34" s="20"/>
      <c r="F34" s="20"/>
      <c r="G34" s="20"/>
      <c r="H34" s="52"/>
    </row>
    <row r="35" spans="1:8" ht="18.5" x14ac:dyDescent="0.45">
      <c r="A35" s="337" t="s">
        <v>105</v>
      </c>
      <c r="B35" s="338"/>
      <c r="C35" s="338"/>
      <c r="D35" s="338"/>
      <c r="E35" s="20"/>
      <c r="F35" s="20"/>
      <c r="G35" s="20"/>
      <c r="H35" s="52"/>
    </row>
    <row r="36" spans="1:8" ht="14.5" customHeight="1" x14ac:dyDescent="0.45">
      <c r="A36" s="234"/>
      <c r="B36" s="235"/>
      <c r="C36" s="235"/>
      <c r="D36" s="104"/>
      <c r="E36" s="20"/>
      <c r="F36" s="20"/>
      <c r="G36" s="20"/>
      <c r="H36" s="52"/>
    </row>
    <row r="37" spans="1:8" ht="14.5" customHeight="1" x14ac:dyDescent="0.45">
      <c r="A37" s="145" t="s">
        <v>96</v>
      </c>
      <c r="B37" s="205"/>
      <c r="C37" s="235"/>
      <c r="D37" s="104"/>
      <c r="E37" s="20"/>
      <c r="F37" s="20"/>
      <c r="G37" s="20"/>
      <c r="H37" s="52"/>
    </row>
    <row r="38" spans="1:8" x14ac:dyDescent="0.35">
      <c r="A38" s="145" t="s">
        <v>97</v>
      </c>
      <c r="B38" s="103">
        <f>B37*12</f>
        <v>0</v>
      </c>
      <c r="C38" s="20"/>
      <c r="D38" s="20"/>
      <c r="E38" s="20"/>
      <c r="F38" s="20"/>
      <c r="G38" s="20"/>
      <c r="H38" s="52"/>
    </row>
    <row r="39" spans="1:8" x14ac:dyDescent="0.35">
      <c r="A39" s="148"/>
      <c r="B39" s="71"/>
      <c r="C39" s="20"/>
      <c r="D39" s="20"/>
      <c r="E39" s="20"/>
      <c r="F39" s="20"/>
      <c r="G39" s="20"/>
      <c r="H39" s="52"/>
    </row>
    <row r="40" spans="1:8" x14ac:dyDescent="0.35">
      <c r="A40" s="146" t="s">
        <v>98</v>
      </c>
      <c r="B40" s="105" t="s">
        <v>99</v>
      </c>
      <c r="C40" s="106" t="s">
        <v>100</v>
      </c>
      <c r="D40" s="105" t="s">
        <v>101</v>
      </c>
      <c r="E40" s="20"/>
      <c r="F40" s="20"/>
      <c r="G40" s="20"/>
      <c r="H40" s="52"/>
    </row>
    <row r="41" spans="1:8" s="161" customFormat="1" x14ac:dyDescent="0.35">
      <c r="A41" s="201"/>
      <c r="B41" s="185" t="str">
        <f>IFERROR(VLOOKUP(Table7[[#This Row],[F-gas type]], Table10[#All], 2,FALSE), "")</f>
        <v/>
      </c>
      <c r="C41" s="184" t="str">
        <f>IFERROR(VLOOKUP(Table7[[#This Row],[F-gas type]], Table10[#All], 3,FALSE), "")</f>
        <v/>
      </c>
      <c r="D41" s="185" t="str">
        <f>IFERROR((Table7[[#This Row],[EF]]*Table7[[#This Row],[GWP]]*B37*0.000001), " ")</f>
        <v xml:space="preserve"> </v>
      </c>
      <c r="E41" s="71"/>
      <c r="F41" s="71"/>
      <c r="G41" s="71"/>
      <c r="H41" s="72"/>
    </row>
    <row r="42" spans="1:8" x14ac:dyDescent="0.35">
      <c r="A42" s="201"/>
      <c r="B42" s="185" t="str">
        <f>IFERROR(VLOOKUP(Table7[[#This Row],[F-gas type]], Table10[#All], 2,FALSE), "")</f>
        <v/>
      </c>
      <c r="C42" s="184" t="str">
        <f>IFERROR(VLOOKUP(Table7[[#This Row],[F-gas type]], Table10[#All], 3,FALSE), "")</f>
        <v/>
      </c>
      <c r="D42" s="185" t="str">
        <f>IFERROR((Table7[[#This Row],[EF]]*Table7[[#This Row],[GWP]]*B38*0.000001), " ")</f>
        <v xml:space="preserve"> </v>
      </c>
      <c r="E42" s="20"/>
      <c r="F42" s="20"/>
      <c r="G42" s="20"/>
      <c r="H42" s="52"/>
    </row>
    <row r="43" spans="1:8" s="161" customFormat="1" x14ac:dyDescent="0.35">
      <c r="A43" s="201"/>
      <c r="B43" s="185" t="str">
        <f>IFERROR(VLOOKUP(Table7[[#This Row],[F-gas type]], Table10[#All], 2,FALSE), "")</f>
        <v/>
      </c>
      <c r="C43" s="184" t="str">
        <f>IFERROR(VLOOKUP(Table7[[#This Row],[F-gas type]], Table10[#All], 3,FALSE), "")</f>
        <v/>
      </c>
      <c r="D43" s="185" t="str">
        <f>IFERROR((Table7[[#This Row],[EF]]*Table7[[#This Row],[GWP]]*B39*0.000001), " ")</f>
        <v xml:space="preserve"> </v>
      </c>
      <c r="E43" s="71"/>
      <c r="F43" s="71"/>
      <c r="G43" s="71"/>
      <c r="H43" s="72"/>
    </row>
    <row r="44" spans="1:8" x14ac:dyDescent="0.35">
      <c r="A44" s="201"/>
      <c r="B44" s="185" t="str">
        <f>IFERROR(VLOOKUP(Table7[[#This Row],[F-gas type]], Table10[#All], 2,FALSE), "")</f>
        <v/>
      </c>
      <c r="C44" s="184" t="str">
        <f>IFERROR(VLOOKUP(Table7[[#This Row],[F-gas type]], Table10[#All], 3,FALSE), "")</f>
        <v/>
      </c>
      <c r="D44" s="185" t="str">
        <f>IFERROR((Table7[[#This Row],[EF]]*Table7[[#This Row],[GWP]]*B40*0.000001), " ")</f>
        <v xml:space="preserve"> </v>
      </c>
      <c r="E44" s="20"/>
      <c r="F44" s="20"/>
      <c r="G44" s="20"/>
      <c r="H44" s="52"/>
    </row>
    <row r="45" spans="1:8" s="161" customFormat="1" x14ac:dyDescent="0.35">
      <c r="A45" s="202"/>
      <c r="B45" s="186" t="str">
        <f>IFERROR(VLOOKUP(Table7[[#This Row],[F-gas type]], Table10[#All], 2,FALSE), "")</f>
        <v/>
      </c>
      <c r="C45" s="187" t="str">
        <f>IFERROR(VLOOKUP(Table7[[#This Row],[F-gas type]], Table10[#All], 3,FALSE), "")</f>
        <v/>
      </c>
      <c r="D45" s="185" t="str">
        <f>IFERROR((Table7[[#This Row],[EF]]*Table7[[#This Row],[GWP]]*B41*0.000001), " ")</f>
        <v xml:space="preserve"> </v>
      </c>
      <c r="E45" s="71"/>
      <c r="F45" s="71"/>
      <c r="G45" s="71"/>
      <c r="H45" s="72"/>
    </row>
    <row r="46" spans="1:8" x14ac:dyDescent="0.35">
      <c r="A46" s="1"/>
      <c r="B46" s="20"/>
      <c r="C46" s="20"/>
      <c r="D46" s="20">
        <f>SUM(Table7[Ei])</f>
        <v>0</v>
      </c>
      <c r="E46" s="20"/>
      <c r="F46" s="20"/>
      <c r="G46" s="20"/>
      <c r="H46" s="52"/>
    </row>
    <row r="47" spans="1:8" ht="18.5" x14ac:dyDescent="0.45">
      <c r="A47" s="337" t="s">
        <v>106</v>
      </c>
      <c r="B47" s="338"/>
      <c r="C47" s="338"/>
      <c r="D47" s="338"/>
      <c r="E47" s="20"/>
      <c r="F47" s="20"/>
      <c r="G47" s="20"/>
      <c r="H47" s="52"/>
    </row>
    <row r="48" spans="1:8" x14ac:dyDescent="0.35">
      <c r="A48" s="1"/>
      <c r="B48" s="20"/>
      <c r="C48" s="20"/>
      <c r="D48" s="20"/>
      <c r="E48" s="71"/>
      <c r="F48" s="20"/>
      <c r="G48" s="20"/>
      <c r="H48" s="52"/>
    </row>
    <row r="49" spans="1:8" x14ac:dyDescent="0.35">
      <c r="A49" s="145" t="s">
        <v>96</v>
      </c>
      <c r="B49" s="205"/>
      <c r="C49" s="20"/>
      <c r="D49" s="20"/>
      <c r="E49" s="20"/>
      <c r="F49" s="20"/>
      <c r="G49" s="20"/>
      <c r="H49" s="52"/>
    </row>
    <row r="50" spans="1:8" x14ac:dyDescent="0.35">
      <c r="A50" s="145" t="s">
        <v>97</v>
      </c>
      <c r="B50" s="103">
        <f>B49*12</f>
        <v>0</v>
      </c>
      <c r="C50" s="20"/>
      <c r="D50" s="20"/>
      <c r="E50" s="20"/>
      <c r="F50" s="20"/>
      <c r="G50" s="20"/>
      <c r="H50" s="52"/>
    </row>
    <row r="51" spans="1:8" x14ac:dyDescent="0.35">
      <c r="A51" s="1"/>
      <c r="B51" s="20"/>
      <c r="C51" s="20"/>
      <c r="D51" s="20"/>
      <c r="E51" s="20"/>
      <c r="F51" s="20"/>
      <c r="G51" s="20"/>
      <c r="H51" s="52"/>
    </row>
    <row r="52" spans="1:8" x14ac:dyDescent="0.35">
      <c r="A52" s="146" t="s">
        <v>98</v>
      </c>
      <c r="B52" s="105" t="s">
        <v>107</v>
      </c>
      <c r="C52" s="105" t="s">
        <v>108</v>
      </c>
      <c r="D52" s="105" t="s">
        <v>109</v>
      </c>
      <c r="E52" s="105" t="s">
        <v>110</v>
      </c>
      <c r="F52" s="105" t="s">
        <v>100</v>
      </c>
      <c r="G52" s="105" t="s">
        <v>111</v>
      </c>
      <c r="H52" s="52"/>
    </row>
    <row r="53" spans="1:8" x14ac:dyDescent="0.35">
      <c r="A53" s="201"/>
      <c r="B53" s="203"/>
      <c r="C53" s="185" t="str">
        <f>IFERROR((VLOOKUP(Table8[[#This Row],[F-gas type]], Table13[#All], 2, FALSE))," ")</f>
        <v xml:space="preserve"> </v>
      </c>
      <c r="D53" s="185" t="str">
        <f>IFERROR((VLOOKUP(Table8[[#This Row],[F-gas type]], Table13[#All], 3, FALSE))," ")</f>
        <v xml:space="preserve"> </v>
      </c>
      <c r="E53" s="185" t="str">
        <f>IFERROR((VLOOKUP(Table8[[#This Row],[F-gas type]], Table13[#All], 4, FALSE))," ")</f>
        <v xml:space="preserve"> </v>
      </c>
      <c r="F53" s="185" t="str">
        <f>IFERROR((VLOOKUP(Table8[[#This Row],[F-gas type]], Table13[#All], 5, FALSE)), " ")</f>
        <v xml:space="preserve"> </v>
      </c>
      <c r="G53" s="188" t="str">
        <f>IFERROR((Table8[[#This Row],[Consumption]]*(Table8[[#This Row],[GWP]]*Table8[[#This Row],[Ui emission factor]]+'Electronics Manufacturing'!E30*Table8[[#This Row],[BCF4]]+'Electronics Manufacturing'!E31*Table8[[#This Row],[BC2F6]])*0.001), " ")</f>
        <v xml:space="preserve"> </v>
      </c>
      <c r="H53" s="52"/>
    </row>
    <row r="54" spans="1:8" x14ac:dyDescent="0.35">
      <c r="A54" s="201"/>
      <c r="B54" s="183"/>
      <c r="C54" s="185" t="str">
        <f>IFERROR((VLOOKUP(Table8[[#This Row],[F-gas type]], Table13[#All], 2, FALSE))," ")</f>
        <v xml:space="preserve"> </v>
      </c>
      <c r="D54" s="184" t="str">
        <f>IFERROR((VLOOKUP(Table8[[#This Row],[F-gas type]], Table13[#All], 3, FALSE))," ")</f>
        <v xml:space="preserve"> </v>
      </c>
      <c r="E54" s="184" t="str">
        <f>IFERROR((VLOOKUP(Table8[[#This Row],[F-gas type]], Table13[#All], 4, FALSE))," ")</f>
        <v xml:space="preserve"> </v>
      </c>
      <c r="F54" s="184" t="str">
        <f>IFERROR((VLOOKUP(Table8[[#This Row],[F-gas type]], Table13[#All], 5, FALSE)), " ")</f>
        <v xml:space="preserve"> </v>
      </c>
      <c r="G54" s="189" t="str">
        <f>IFERROR((Table8[[#This Row],[Consumption]]*(Table8[[#This Row],[GWP]]*Table8[[#This Row],[Ui emission factor]]+'Electronics Manufacturing'!E31*Table8[[#This Row],[BCF4]]+'Electronics Manufacturing'!E32*Table8[[#This Row],[BC2F6]])*0.001), " ")</f>
        <v xml:space="preserve"> </v>
      </c>
      <c r="H54" s="52"/>
    </row>
    <row r="55" spans="1:8" x14ac:dyDescent="0.35">
      <c r="A55" s="201"/>
      <c r="B55" s="183"/>
      <c r="C55" s="186" t="str">
        <f>IFERROR((VLOOKUP(Table8[[#This Row],[F-gas type]], Table13[#All], 2, FALSE))," ")</f>
        <v xml:space="preserve"> </v>
      </c>
      <c r="D55" s="184" t="str">
        <f>IFERROR((VLOOKUP(Table8[[#This Row],[F-gas type]], Table13[#All], 3, FALSE))," ")</f>
        <v xml:space="preserve"> </v>
      </c>
      <c r="E55" s="187" t="str">
        <f>IFERROR((VLOOKUP(Table8[[#This Row],[F-gas type]], Table13[#All], 4, FALSE))," ")</f>
        <v xml:space="preserve"> </v>
      </c>
      <c r="F55" s="187" t="str">
        <f>IFERROR((VLOOKUP(Table8[[#This Row],[F-gas type]], Table13[#All], 5, FALSE)), " ")</f>
        <v xml:space="preserve"> </v>
      </c>
      <c r="G55" s="189" t="str">
        <f>IFERROR((Table8[[#This Row],[Consumption]]*(Table8[[#This Row],[GWP]]*Table8[[#This Row],[Ui emission factor]]+'Electronics Manufacturing'!E32*Table8[[#This Row],[BCF4]]+'Electronics Manufacturing'!E33*Table8[[#This Row],[BC2F6]])*0.001), " ")</f>
        <v xml:space="preserve"> </v>
      </c>
      <c r="H55" s="52"/>
    </row>
    <row r="56" spans="1:8" x14ac:dyDescent="0.35">
      <c r="A56" s="201"/>
      <c r="B56" s="183"/>
      <c r="C56" s="185" t="str">
        <f>IFERROR((VLOOKUP(Table8[[#This Row],[F-gas type]], Table13[#All], 2, FALSE))," ")</f>
        <v xml:space="preserve"> </v>
      </c>
      <c r="D56" s="184" t="str">
        <f>IFERROR((VLOOKUP(Table8[[#This Row],[F-gas type]], Table13[#All], 3, FALSE))," ")</f>
        <v xml:space="preserve"> </v>
      </c>
      <c r="E56" s="184" t="str">
        <f>IFERROR((VLOOKUP(Table8[[#This Row],[F-gas type]], Table13[#All], 4, FALSE))," ")</f>
        <v xml:space="preserve"> </v>
      </c>
      <c r="F56" s="184" t="str">
        <f>IFERROR((VLOOKUP(Table8[[#This Row],[F-gas type]], Table13[#All], 5, FALSE)), " ")</f>
        <v xml:space="preserve"> </v>
      </c>
      <c r="G56" s="189" t="str">
        <f>IFERROR((Table8[[#This Row],[Consumption]]*(Table8[[#This Row],[GWP]]*Table8[[#This Row],[Ui emission factor]]+'Electronics Manufacturing'!E33*Table8[[#This Row],[BCF4]]+'Electronics Manufacturing'!E34*Table8[[#This Row],[BC2F6]])*0.001), " ")</f>
        <v xml:space="preserve"> </v>
      </c>
      <c r="H56" s="52"/>
    </row>
    <row r="57" spans="1:8" x14ac:dyDescent="0.35">
      <c r="A57" s="201"/>
      <c r="B57" s="183"/>
      <c r="C57" s="185" t="str">
        <f>IFERROR((VLOOKUP(Table8[[#This Row],[F-gas type]], Table13[#All], 2, FALSE))," ")</f>
        <v xml:space="preserve"> </v>
      </c>
      <c r="D57" s="184" t="str">
        <f>IFERROR((VLOOKUP(Table8[[#This Row],[F-gas type]], Table13[#All], 3, FALSE))," ")</f>
        <v xml:space="preserve"> </v>
      </c>
      <c r="E57" s="184" t="str">
        <f>IFERROR((VLOOKUP(Table8[[#This Row],[F-gas type]], Table13[#All], 4, FALSE))," ")</f>
        <v xml:space="preserve"> </v>
      </c>
      <c r="F57" s="184" t="str">
        <f>IFERROR((VLOOKUP(Table8[[#This Row],[F-gas type]], Table13[#All], 5, FALSE)), " ")</f>
        <v xml:space="preserve"> </v>
      </c>
      <c r="G57" s="189" t="str">
        <f>IFERROR((Table8[[#This Row],[Consumption]]*(Table8[[#This Row],[GWP]]*Table8[[#This Row],[Ui emission factor]]+'Electronics Manufacturing'!E34*Table8[[#This Row],[BCF4]]+'Electronics Manufacturing'!E35*Table8[[#This Row],[BC2F6]])*0.001), " ")</f>
        <v xml:space="preserve"> </v>
      </c>
      <c r="H57" s="52"/>
    </row>
    <row r="58" spans="1:8" x14ac:dyDescent="0.35">
      <c r="A58" s="201"/>
      <c r="B58" s="183"/>
      <c r="C58" s="185" t="str">
        <f>IFERROR((VLOOKUP(Table8[[#This Row],[F-gas type]], Table13[#All], 2, FALSE))," ")</f>
        <v xml:space="preserve"> </v>
      </c>
      <c r="D58" s="184" t="str">
        <f>IFERROR((VLOOKUP(Table8[[#This Row],[F-gas type]], Table13[#All], 3, FALSE))," ")</f>
        <v xml:space="preserve"> </v>
      </c>
      <c r="E58" s="184" t="str">
        <f>IFERROR((VLOOKUP(Table8[[#This Row],[F-gas type]], Table13[#All], 4, FALSE))," ")</f>
        <v xml:space="preserve"> </v>
      </c>
      <c r="F58" s="184" t="str">
        <f>IFERROR((VLOOKUP(Table8[[#This Row],[F-gas type]], Table13[#All], 5, FALSE)), " ")</f>
        <v xml:space="preserve"> </v>
      </c>
      <c r="G58" s="189" t="str">
        <f>IFERROR((Table8[[#This Row],[Consumption]]*(Table8[[#This Row],[GWP]]*Table8[[#This Row],[Ui emission factor]]+'Electronics Manufacturing'!E35*Table8[[#This Row],[BCF4]]+'Electronics Manufacturing'!E36*Table8[[#This Row],[BC2F6]])*0.001), " ")</f>
        <v xml:space="preserve"> </v>
      </c>
      <c r="H58" s="52"/>
    </row>
    <row r="59" spans="1:8" x14ac:dyDescent="0.35">
      <c r="A59" s="201"/>
      <c r="B59" s="183"/>
      <c r="C59" s="185" t="str">
        <f>IFERROR((VLOOKUP(Table8[[#This Row],[F-gas type]], Table13[#All], 2, FALSE))," ")</f>
        <v xml:space="preserve"> </v>
      </c>
      <c r="D59" s="184" t="str">
        <f>IFERROR((VLOOKUP(Table8[[#This Row],[F-gas type]], Table13[#All], 3, FALSE))," ")</f>
        <v xml:space="preserve"> </v>
      </c>
      <c r="E59" s="184" t="str">
        <f>IFERROR((VLOOKUP(Table8[[#This Row],[F-gas type]], Table13[#All], 4, FALSE))," ")</f>
        <v xml:space="preserve"> </v>
      </c>
      <c r="F59" s="184" t="str">
        <f>IFERROR((VLOOKUP(Table8[[#This Row],[F-gas type]], Table13[#All], 5, FALSE)), " ")</f>
        <v xml:space="preserve"> </v>
      </c>
      <c r="G59" s="189" t="str">
        <f>IFERROR((Table8[[#This Row],[Consumption]]*(Table8[[#This Row],[GWP]]*Table8[[#This Row],[Ui emission factor]]+'Electronics Manufacturing'!E36*Table8[[#This Row],[BCF4]]+'Electronics Manufacturing'!E37*Table8[[#This Row],[BC2F6]])*0.001), " ")</f>
        <v xml:space="preserve"> </v>
      </c>
      <c r="H59" s="52"/>
    </row>
    <row r="60" spans="1:8" x14ac:dyDescent="0.35">
      <c r="A60" s="201"/>
      <c r="B60" s="204"/>
      <c r="C60" s="186" t="str">
        <f>IFERROR((VLOOKUP(Table8[[#This Row],[F-gas type]], Table13[#All], 2, FALSE))," ")</f>
        <v xml:space="preserve"> </v>
      </c>
      <c r="D60" s="187" t="str">
        <f>IFERROR((VLOOKUP(Table8[[#This Row],[F-gas type]], Table13[#All], 3, FALSE))," ")</f>
        <v xml:space="preserve"> </v>
      </c>
      <c r="E60" s="187" t="str">
        <f>IFERROR((VLOOKUP(Table8[[#This Row],[F-gas type]], Table13[#All], 4, FALSE))," ")</f>
        <v xml:space="preserve"> </v>
      </c>
      <c r="F60" s="187" t="str">
        <f>IFERROR((VLOOKUP(Table8[[#This Row],[F-gas type]], Table13[#All], 5, FALSE)), " ")</f>
        <v xml:space="preserve"> </v>
      </c>
      <c r="G60" s="190" t="str">
        <f>IFERROR((Table8[[#This Row],[Consumption]]*(Table8[[#This Row],[GWP]]*Table8[[#This Row],[Ui emission factor]]+'Electronics Manufacturing'!E37*Table8[[#This Row],[BCF4]]+'Electronics Manufacturing'!E38*Table8[[#This Row],[BC2F6]])*0.001), " ")</f>
        <v xml:space="preserve"> </v>
      </c>
      <c r="H60" s="52"/>
    </row>
    <row r="61" spans="1:8" x14ac:dyDescent="0.35">
      <c r="A61" s="1"/>
      <c r="B61" s="20"/>
      <c r="C61" s="20"/>
      <c r="D61" s="20"/>
      <c r="E61" s="20"/>
      <c r="F61" s="20"/>
      <c r="G61" s="20">
        <f>SUM(Table8[[Ei ]])</f>
        <v>0</v>
      </c>
      <c r="H61" s="52"/>
    </row>
    <row r="62" spans="1:8" x14ac:dyDescent="0.35">
      <c r="A62" s="1"/>
      <c r="B62" s="20"/>
      <c r="C62" s="20"/>
      <c r="D62" s="20"/>
      <c r="E62" s="20"/>
      <c r="F62" s="20"/>
      <c r="G62" s="20"/>
      <c r="H62" s="52"/>
    </row>
    <row r="63" spans="1:8" x14ac:dyDescent="0.35">
      <c r="A63" s="206" t="s">
        <v>112</v>
      </c>
      <c r="B63" s="207">
        <f>G61+D46+D34+D23</f>
        <v>0</v>
      </c>
      <c r="C63" s="207" t="s">
        <v>72</v>
      </c>
      <c r="D63" s="20"/>
      <c r="E63" s="20"/>
      <c r="F63" s="20"/>
      <c r="G63" s="20"/>
      <c r="H63" s="52"/>
    </row>
    <row r="64" spans="1:8" x14ac:dyDescent="0.35">
      <c r="A64" s="1"/>
      <c r="B64" s="20"/>
      <c r="C64" s="20"/>
      <c r="D64" s="20"/>
      <c r="E64" s="20"/>
      <c r="F64" s="20"/>
      <c r="G64" s="20"/>
      <c r="H64" s="52"/>
    </row>
    <row r="65" spans="1:8" ht="15" thickBot="1" x14ac:dyDescent="0.4">
      <c r="A65" s="2"/>
      <c r="B65" s="3"/>
      <c r="C65" s="3"/>
      <c r="D65" s="3"/>
      <c r="E65" s="3"/>
      <c r="F65" s="3"/>
      <c r="G65" s="3"/>
      <c r="H65" s="101"/>
    </row>
  </sheetData>
  <sheetProtection algorithmName="SHA-512" hashValue="kxQoYO2GfQR7HTTxt83Ia0uRjGo1T3kgylFyHssdWWn8acn9aBqzP8LhYcRbRa2VESnQ5GkhWidNzB+bKQ145g==" saltValue="NtAVwUbxL+Ex9TirKDf/iA==" spinCount="100000" sheet="1" objects="1" scenarios="1"/>
  <mergeCells count="10">
    <mergeCell ref="A3:F3"/>
    <mergeCell ref="A4:F4"/>
    <mergeCell ref="A1:F1"/>
    <mergeCell ref="A47:D47"/>
    <mergeCell ref="A35:D35"/>
    <mergeCell ref="A7:F7"/>
    <mergeCell ref="A8:F8"/>
    <mergeCell ref="A9:F9"/>
    <mergeCell ref="A11:D11"/>
    <mergeCell ref="A25:D25"/>
  </mergeCells>
  <pageMargins left="0.7" right="0.7" top="0.75" bottom="0.75" header="0.3" footer="0.3"/>
  <tableParts count="4">
    <tablePart r:id="rId1"/>
    <tablePart r:id="rId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r:uid="{7C0CCD92-24FA-4131-9CD5-2DE0876E5718}">
          <x14:formula1>
            <xm:f>'F-gas EFs (hide)'!$A$3:$A$8</xm:f>
          </x14:formula1>
          <xm:sqref>A17:A22</xm:sqref>
        </x14:dataValidation>
        <x14:dataValidation type="list" allowBlank="1" showInputMessage="1" showErrorMessage="1" xr:uid="{64901F11-0D49-4EB8-8C78-5E880720FD8A}">
          <x14:formula1>
            <xm:f>'F-gas EFs (hide)'!$E$3:$E$7</xm:f>
          </x14:formula1>
          <xm:sqref>A41:A45</xm:sqref>
        </x14:dataValidation>
        <x14:dataValidation type="list" allowBlank="1" showInputMessage="1" showErrorMessage="1" xr:uid="{81A43AB7-3163-43A8-8A15-F09BFBD23E06}">
          <x14:formula1>
            <xm:f>'F-gas EFs (hide)'!$I$3:$I$5</xm:f>
          </x14:formula1>
          <xm:sqref>A31:A33</xm:sqref>
        </x14:dataValidation>
        <x14:dataValidation type="list" allowBlank="1" showInputMessage="1" showErrorMessage="1" xr:uid="{165F5F71-BD60-4319-B5C9-BC2944AD8EC5}">
          <x14:formula1>
            <xm:f>'F-gas EFs (hide)'!$M$3:$M$4</xm:f>
          </x14:formula1>
          <xm:sqref>A54:A60</xm:sqref>
        </x14:dataValidation>
        <x14:dataValidation type="list" allowBlank="1" showInputMessage="1" showErrorMessage="1" xr:uid="{B06D24A0-1C03-4C65-A6D7-42ED25CFF13B}">
          <x14:formula1>
            <xm:f>'F-gas EFs (hide)'!$A$11:$A$18</xm:f>
          </x14:formula1>
          <xm:sqref>A53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E6636-851C-4DE6-93DF-4067ED6C81A8}">
  <dimension ref="A1:J48"/>
  <sheetViews>
    <sheetView showGridLines="0" tabSelected="1" workbookViewId="0">
      <pane ySplit="1" topLeftCell="A2" activePane="bottomLeft" state="frozen"/>
      <selection pane="bottomLeft" activeCell="B1" sqref="B1"/>
    </sheetView>
  </sheetViews>
  <sheetFormatPr defaultRowHeight="14.5" x14ac:dyDescent="0.35"/>
  <cols>
    <col min="1" max="1" width="30.7265625" customWidth="1"/>
    <col min="2" max="2" width="17.26953125" customWidth="1"/>
    <col min="3" max="3" width="21.81640625" bestFit="1" customWidth="1"/>
    <col min="4" max="4" width="20.453125" bestFit="1" customWidth="1"/>
    <col min="5" max="5" width="20.81640625" bestFit="1" customWidth="1"/>
    <col min="6" max="6" width="20" bestFit="1" customWidth="1"/>
    <col min="7" max="7" width="12.26953125" bestFit="1" customWidth="1"/>
    <col min="8" max="8" width="18.54296875" customWidth="1"/>
  </cols>
  <sheetData>
    <row r="1" spans="1:8" ht="29" x14ac:dyDescent="0.35">
      <c r="A1" s="62" t="s">
        <v>113</v>
      </c>
      <c r="B1" s="62" t="s">
        <v>225</v>
      </c>
      <c r="C1" s="62" t="s">
        <v>115</v>
      </c>
      <c r="D1" s="62" t="s">
        <v>116</v>
      </c>
      <c r="E1" s="62" t="s">
        <v>117</v>
      </c>
      <c r="F1" s="62" t="s">
        <v>118</v>
      </c>
      <c r="G1" s="62" t="s">
        <v>119</v>
      </c>
      <c r="H1" s="62" t="s">
        <v>120</v>
      </c>
    </row>
    <row r="2" spans="1:8" x14ac:dyDescent="0.35">
      <c r="A2" s="4" t="s">
        <v>121</v>
      </c>
      <c r="B2" s="4" t="s">
        <v>122</v>
      </c>
      <c r="C2" s="4"/>
      <c r="D2" s="4"/>
      <c r="E2" s="4"/>
      <c r="F2" s="4"/>
      <c r="G2" s="4"/>
      <c r="H2" s="4"/>
    </row>
    <row r="3" spans="1:8" s="161" customFormat="1" x14ac:dyDescent="0.35">
      <c r="A3" s="185" t="s">
        <v>123</v>
      </c>
      <c r="B3" s="185">
        <v>25.09</v>
      </c>
      <c r="C3" s="185">
        <v>103.69</v>
      </c>
      <c r="D3" s="185">
        <v>11</v>
      </c>
      <c r="E3" s="185">
        <v>1.6</v>
      </c>
      <c r="F3" s="185">
        <v>41.939</v>
      </c>
      <c r="G3" s="185">
        <f>C3+(D3*84/1000)+(E3*264/1000)+F3</f>
        <v>146.97540000000001</v>
      </c>
      <c r="H3" s="185">
        <f>C3+(D3*84/1000)+(E3*264/1000)</f>
        <v>105.0364</v>
      </c>
    </row>
    <row r="4" spans="1:8" x14ac:dyDescent="0.35">
      <c r="A4" s="5" t="s">
        <v>124</v>
      </c>
      <c r="B4" s="5">
        <v>24.93</v>
      </c>
      <c r="C4" s="5">
        <v>93.28</v>
      </c>
      <c r="D4" s="5">
        <v>11</v>
      </c>
      <c r="E4" s="5">
        <v>1.6</v>
      </c>
      <c r="F4" s="5">
        <v>41.939</v>
      </c>
      <c r="G4" s="5">
        <f>C4+(D4*84/1000)+(E4*264/1000)+F4</f>
        <v>136.56540000000001</v>
      </c>
      <c r="H4" s="5">
        <f>C4+(D4*84/1000)+(E4*264/1000)</f>
        <v>94.626400000000004</v>
      </c>
    </row>
    <row r="5" spans="1:8" s="161" customFormat="1" x14ac:dyDescent="0.35">
      <c r="A5" s="185" t="s">
        <v>125</v>
      </c>
      <c r="B5" s="185">
        <v>17.25</v>
      </c>
      <c r="C5" s="185">
        <v>97.17</v>
      </c>
      <c r="D5" s="185">
        <v>11</v>
      </c>
      <c r="E5" s="185">
        <v>1.6</v>
      </c>
      <c r="F5" s="185">
        <v>41.939</v>
      </c>
      <c r="G5" s="185">
        <f>C5+(D5*84/1000)+(E5*264/1000)+F5</f>
        <v>140.4554</v>
      </c>
      <c r="H5" s="185">
        <f>C5+(D5*84/1000)+(E5*264/1000)</f>
        <v>98.516400000000004</v>
      </c>
    </row>
    <row r="6" spans="1:8" x14ac:dyDescent="0.35">
      <c r="A6" s="5" t="s">
        <v>126</v>
      </c>
      <c r="B6" s="5">
        <v>14.21</v>
      </c>
      <c r="C6" s="5">
        <v>97.72</v>
      </c>
      <c r="D6" s="5">
        <v>11</v>
      </c>
      <c r="E6" s="5">
        <v>1.6</v>
      </c>
      <c r="F6" s="5">
        <v>41.939</v>
      </c>
      <c r="G6" s="5">
        <f>C6+(D6*84/1000)+(E6*264/1000)+F6</f>
        <v>141.00540000000001</v>
      </c>
      <c r="H6" s="5">
        <f>C6+(D6*84/1000)+(E6*264/1000)</f>
        <v>99.066400000000002</v>
      </c>
    </row>
    <row r="7" spans="1:8" s="161" customFormat="1" x14ac:dyDescent="0.35">
      <c r="A7" s="185" t="s">
        <v>127</v>
      </c>
      <c r="B7" s="185">
        <v>24.8</v>
      </c>
      <c r="C7" s="185">
        <v>113.67</v>
      </c>
      <c r="D7" s="185">
        <v>11</v>
      </c>
      <c r="E7" s="185">
        <v>1.6</v>
      </c>
      <c r="F7" s="185">
        <v>41.939</v>
      </c>
      <c r="G7" s="185">
        <f>C7+(D7*84/1000)+(E7*264/1000)+F7</f>
        <v>156.9554</v>
      </c>
      <c r="H7" s="185">
        <f>C7+(D7*84/1000)+(E7*264/1000)</f>
        <v>115.0164</v>
      </c>
    </row>
    <row r="8" spans="1:8" x14ac:dyDescent="0.35">
      <c r="A8" s="4" t="s">
        <v>128</v>
      </c>
      <c r="B8" s="4" t="s">
        <v>129</v>
      </c>
      <c r="C8" s="4"/>
      <c r="D8" s="4"/>
      <c r="E8" s="4"/>
      <c r="F8" s="4"/>
      <c r="G8" s="4"/>
      <c r="H8" s="4"/>
    </row>
    <row r="9" spans="1:8" s="161" customFormat="1" x14ac:dyDescent="0.35">
      <c r="A9" s="185" t="s">
        <v>130</v>
      </c>
      <c r="B9" s="185">
        <v>0.13900000000000001</v>
      </c>
      <c r="C9" s="185">
        <v>73.25</v>
      </c>
      <c r="D9" s="185">
        <v>3</v>
      </c>
      <c r="E9" s="185">
        <v>0.6</v>
      </c>
      <c r="F9" s="185">
        <v>23.54</v>
      </c>
      <c r="G9" s="185">
        <f t="shared" ref="G9:G24" si="0">C9+(D9*84/1000)+(E9*264/1000)+F9</f>
        <v>97.200400000000002</v>
      </c>
      <c r="H9" s="185">
        <f t="shared" ref="H9:H24" si="1">C9+(D9*84/1000)+(E9*264/1000)</f>
        <v>73.660399999999996</v>
      </c>
    </row>
    <row r="10" spans="1:8" x14ac:dyDescent="0.35">
      <c r="A10" s="5" t="s">
        <v>131</v>
      </c>
      <c r="B10" s="5">
        <v>0.13800000000000001</v>
      </c>
      <c r="C10" s="5">
        <v>73.959999999999994</v>
      </c>
      <c r="D10" s="5">
        <v>3</v>
      </c>
      <c r="E10" s="5">
        <v>0.6</v>
      </c>
      <c r="F10" s="5">
        <v>23.54</v>
      </c>
      <c r="G10" s="5">
        <f t="shared" si="0"/>
        <v>97.910399999999981</v>
      </c>
      <c r="H10" s="5">
        <f t="shared" si="1"/>
        <v>74.370399999999989</v>
      </c>
    </row>
    <row r="11" spans="1:8" s="161" customFormat="1" x14ac:dyDescent="0.35">
      <c r="A11" s="185" t="s">
        <v>132</v>
      </c>
      <c r="B11" s="185">
        <v>0.14599999999999999</v>
      </c>
      <c r="C11" s="185">
        <v>75.040000000000006</v>
      </c>
      <c r="D11" s="185">
        <v>3</v>
      </c>
      <c r="E11" s="185">
        <v>0.6</v>
      </c>
      <c r="F11" s="185">
        <v>23.54</v>
      </c>
      <c r="G11" s="185">
        <f t="shared" si="0"/>
        <v>98.990399999999994</v>
      </c>
      <c r="H11" s="185">
        <f t="shared" si="1"/>
        <v>75.450400000000002</v>
      </c>
    </row>
    <row r="12" spans="1:8" x14ac:dyDescent="0.35">
      <c r="A12" s="5" t="s">
        <v>133</v>
      </c>
      <c r="B12" s="5">
        <v>0.13500000000000001</v>
      </c>
      <c r="C12" s="5">
        <v>75.2</v>
      </c>
      <c r="D12" s="5">
        <v>3</v>
      </c>
      <c r="E12" s="5">
        <v>0.6</v>
      </c>
      <c r="F12" s="5">
        <v>18.193000000000001</v>
      </c>
      <c r="G12" s="5">
        <f t="shared" si="0"/>
        <v>93.803399999999996</v>
      </c>
      <c r="H12" s="5">
        <f t="shared" si="1"/>
        <v>75.610399999999998</v>
      </c>
    </row>
    <row r="13" spans="1:8" s="161" customFormat="1" x14ac:dyDescent="0.35">
      <c r="A13" s="185" t="s">
        <v>134</v>
      </c>
      <c r="B13" s="185">
        <v>9.1999999999999998E-2</v>
      </c>
      <c r="C13" s="185">
        <v>62.98</v>
      </c>
      <c r="D13" s="185">
        <v>3</v>
      </c>
      <c r="E13" s="185">
        <v>0.6</v>
      </c>
      <c r="F13" s="185">
        <v>26.474</v>
      </c>
      <c r="G13" s="185">
        <f t="shared" si="0"/>
        <v>89.864400000000003</v>
      </c>
      <c r="H13" s="185">
        <f t="shared" si="1"/>
        <v>63.3904</v>
      </c>
    </row>
    <row r="14" spans="1:8" x14ac:dyDescent="0.35">
      <c r="A14" s="5" t="s">
        <v>135</v>
      </c>
      <c r="B14" s="5">
        <v>9.0999999999999998E-2</v>
      </c>
      <c r="C14" s="5">
        <v>65.95</v>
      </c>
      <c r="D14" s="5">
        <v>3</v>
      </c>
      <c r="E14" s="5">
        <v>0.6</v>
      </c>
      <c r="F14" s="5">
        <v>26.474</v>
      </c>
      <c r="G14" s="5">
        <f t="shared" si="0"/>
        <v>92.834400000000002</v>
      </c>
      <c r="H14" s="5">
        <f t="shared" si="1"/>
        <v>66.360399999999998</v>
      </c>
    </row>
    <row r="15" spans="1:8" s="161" customFormat="1" x14ac:dyDescent="0.35">
      <c r="A15" s="185" t="s">
        <v>136</v>
      </c>
      <c r="B15" s="185">
        <v>9.6000000000000002E-2</v>
      </c>
      <c r="C15" s="185">
        <v>62.64</v>
      </c>
      <c r="D15" s="185">
        <v>3</v>
      </c>
      <c r="E15" s="185">
        <v>0.6</v>
      </c>
      <c r="F15" s="185">
        <v>40.877000000000002</v>
      </c>
      <c r="G15" s="185">
        <f t="shared" si="0"/>
        <v>103.92740000000001</v>
      </c>
      <c r="H15" s="185">
        <f t="shared" si="1"/>
        <v>63.050400000000003</v>
      </c>
    </row>
    <row r="16" spans="1:8" x14ac:dyDescent="0.35">
      <c r="A16" s="5" t="s">
        <v>137</v>
      </c>
      <c r="B16" s="5">
        <v>0.1</v>
      </c>
      <c r="C16" s="5">
        <v>67.430000000000007</v>
      </c>
      <c r="D16" s="5">
        <v>3</v>
      </c>
      <c r="E16" s="5">
        <v>0.6</v>
      </c>
      <c r="F16" s="5">
        <v>40.877000000000002</v>
      </c>
      <c r="G16" s="5">
        <f t="shared" si="0"/>
        <v>108.7174</v>
      </c>
      <c r="H16" s="5">
        <f t="shared" si="1"/>
        <v>67.840400000000002</v>
      </c>
    </row>
    <row r="17" spans="1:8" s="161" customFormat="1" x14ac:dyDescent="0.35">
      <c r="A17" s="185" t="s">
        <v>138</v>
      </c>
      <c r="B17" s="185">
        <v>9.7000000000000003E-2</v>
      </c>
      <c r="C17" s="185">
        <v>64.91</v>
      </c>
      <c r="D17" s="185">
        <v>3</v>
      </c>
      <c r="E17" s="185">
        <v>0.6</v>
      </c>
      <c r="F17" s="185">
        <v>40.877000000000002</v>
      </c>
      <c r="G17" s="185">
        <f t="shared" si="0"/>
        <v>106.19739999999999</v>
      </c>
      <c r="H17" s="185">
        <f t="shared" si="1"/>
        <v>65.320399999999992</v>
      </c>
    </row>
    <row r="18" spans="1:8" x14ac:dyDescent="0.35">
      <c r="A18" s="5" t="s">
        <v>139</v>
      </c>
      <c r="B18" s="5">
        <v>0.10299999999999999</v>
      </c>
      <c r="C18" s="5">
        <v>67.739999999999995</v>
      </c>
      <c r="D18" s="5">
        <v>3</v>
      </c>
      <c r="E18" s="5">
        <v>0.6</v>
      </c>
      <c r="F18" s="5">
        <v>40.877000000000002</v>
      </c>
      <c r="G18" s="5">
        <f t="shared" si="0"/>
        <v>109.0274</v>
      </c>
      <c r="H18" s="5">
        <f t="shared" si="1"/>
        <v>68.150399999999991</v>
      </c>
    </row>
    <row r="19" spans="1:8" s="161" customFormat="1" x14ac:dyDescent="0.35">
      <c r="A19" s="185" t="s">
        <v>140</v>
      </c>
      <c r="B19" s="185">
        <v>0.10100000000000001</v>
      </c>
      <c r="C19" s="185">
        <v>65.150000000000006</v>
      </c>
      <c r="D19" s="185">
        <v>3</v>
      </c>
      <c r="E19" s="185">
        <v>0.6</v>
      </c>
      <c r="F19" s="185">
        <v>40.877000000000002</v>
      </c>
      <c r="G19" s="185">
        <f t="shared" si="0"/>
        <v>106.4374</v>
      </c>
      <c r="H19" s="185">
        <f t="shared" si="1"/>
        <v>65.560400000000001</v>
      </c>
    </row>
    <row r="20" spans="1:8" x14ac:dyDescent="0.35">
      <c r="A20" s="5" t="s">
        <v>141</v>
      </c>
      <c r="B20" s="5">
        <v>0.10299999999999999</v>
      </c>
      <c r="C20" s="5">
        <v>67.73</v>
      </c>
      <c r="D20" s="5">
        <v>3</v>
      </c>
      <c r="E20" s="5">
        <v>0.6</v>
      </c>
      <c r="F20" s="5">
        <v>40.877000000000002</v>
      </c>
      <c r="G20" s="5">
        <f t="shared" si="0"/>
        <v>109.01740000000001</v>
      </c>
      <c r="H20" s="5">
        <f t="shared" si="1"/>
        <v>68.1404</v>
      </c>
    </row>
    <row r="21" spans="1:8" s="161" customFormat="1" x14ac:dyDescent="0.35">
      <c r="A21" s="185" t="s">
        <v>142</v>
      </c>
      <c r="B21" s="185">
        <v>0.11</v>
      </c>
      <c r="C21" s="185">
        <v>66.83</v>
      </c>
      <c r="D21" s="185">
        <v>3</v>
      </c>
      <c r="E21" s="185">
        <v>0.6</v>
      </c>
      <c r="F21" s="185">
        <v>40.877000000000002</v>
      </c>
      <c r="G21" s="185">
        <f t="shared" si="0"/>
        <v>108.1174</v>
      </c>
      <c r="H21" s="185">
        <f t="shared" si="1"/>
        <v>67.240399999999994</v>
      </c>
    </row>
    <row r="22" spans="1:8" x14ac:dyDescent="0.35">
      <c r="A22" s="5" t="s">
        <v>143</v>
      </c>
      <c r="B22" s="5">
        <v>0.125</v>
      </c>
      <c r="C22" s="5">
        <v>70.22</v>
      </c>
      <c r="D22" s="5">
        <v>3</v>
      </c>
      <c r="E22" s="5">
        <v>0.6</v>
      </c>
      <c r="F22" s="5">
        <v>28.866</v>
      </c>
      <c r="G22" s="5">
        <f t="shared" si="0"/>
        <v>99.496399999999994</v>
      </c>
      <c r="H22" s="5">
        <f t="shared" si="1"/>
        <v>70.630399999999995</v>
      </c>
    </row>
    <row r="23" spans="1:8" s="161" customFormat="1" x14ac:dyDescent="0.35">
      <c r="A23" s="185" t="s">
        <v>144</v>
      </c>
      <c r="B23" s="185">
        <v>0.12</v>
      </c>
      <c r="C23" s="185">
        <v>69.25</v>
      </c>
      <c r="D23" s="185">
        <v>3</v>
      </c>
      <c r="E23" s="185">
        <v>0.6</v>
      </c>
      <c r="F23" s="185">
        <v>18.193000000000001</v>
      </c>
      <c r="G23" s="185">
        <f t="shared" si="0"/>
        <v>87.853399999999993</v>
      </c>
      <c r="H23" s="185">
        <f t="shared" si="1"/>
        <v>69.660399999999996</v>
      </c>
    </row>
    <row r="24" spans="1:8" x14ac:dyDescent="0.35">
      <c r="A24" s="5" t="s">
        <v>145</v>
      </c>
      <c r="B24" s="5">
        <v>0.13500000000000001</v>
      </c>
      <c r="C24" s="5">
        <v>72.22</v>
      </c>
      <c r="D24" s="5">
        <v>3</v>
      </c>
      <c r="E24" s="5">
        <v>0.6</v>
      </c>
      <c r="F24" s="5">
        <v>18.193000000000001</v>
      </c>
      <c r="G24" s="5">
        <f t="shared" si="0"/>
        <v>90.823399999999992</v>
      </c>
      <c r="H24" s="5">
        <f t="shared" si="1"/>
        <v>72.630399999999995</v>
      </c>
    </row>
    <row r="25" spans="1:8" x14ac:dyDescent="0.35">
      <c r="A25" s="4" t="s">
        <v>146</v>
      </c>
      <c r="B25" s="4" t="s">
        <v>147</v>
      </c>
      <c r="C25" s="4"/>
      <c r="D25" s="4"/>
      <c r="E25" s="4"/>
      <c r="F25" s="4"/>
      <c r="G25" s="4"/>
      <c r="H25" s="4"/>
    </row>
    <row r="26" spans="1:8" ht="15" thickBot="1" x14ac:dyDescent="0.4">
      <c r="A26" s="8" t="s">
        <v>148</v>
      </c>
      <c r="B26" s="8">
        <f>1.026*10^-3</f>
        <v>1.026E-3</v>
      </c>
      <c r="C26" s="8">
        <v>53.06</v>
      </c>
      <c r="D26" s="8">
        <v>1</v>
      </c>
      <c r="E26" s="8">
        <v>0.1</v>
      </c>
      <c r="F26" s="5">
        <v>40.877000000000002</v>
      </c>
      <c r="G26" s="5">
        <f>C26+(D26*84/1000)+(E26*264/1000)+F26</f>
        <v>94.04740000000001</v>
      </c>
      <c r="H26" s="5">
        <f>C26+(D26*84/1000)+(E26*264/1000)</f>
        <v>53.170400000000008</v>
      </c>
    </row>
    <row r="27" spans="1:8" x14ac:dyDescent="0.35">
      <c r="A27" s="9" t="s">
        <v>149</v>
      </c>
      <c r="B27" s="10" t="s">
        <v>150</v>
      </c>
      <c r="C27" s="10"/>
      <c r="D27" s="10"/>
      <c r="E27" s="11"/>
      <c r="F27" s="6"/>
      <c r="G27" s="4"/>
      <c r="H27" s="4"/>
    </row>
    <row r="28" spans="1:8" s="161" customFormat="1" x14ac:dyDescent="0.35">
      <c r="A28" s="182" t="s">
        <v>151</v>
      </c>
      <c r="B28" s="185">
        <f>9.95*10^3</f>
        <v>9950</v>
      </c>
      <c r="C28" s="185">
        <v>90.7</v>
      </c>
      <c r="D28" s="185">
        <v>32</v>
      </c>
      <c r="E28" s="191">
        <v>4.2</v>
      </c>
      <c r="F28" s="192"/>
      <c r="G28" s="185"/>
      <c r="H28" s="185">
        <f>C28+(D28*84/1000)+(E28*264/1000)</f>
        <v>94.496800000000007</v>
      </c>
    </row>
    <row r="29" spans="1:8" s="161" customFormat="1" x14ac:dyDescent="0.35">
      <c r="A29" s="12" t="s">
        <v>152</v>
      </c>
      <c r="B29" s="5">
        <v>28</v>
      </c>
      <c r="C29" s="5">
        <v>85.97</v>
      </c>
      <c r="D29" s="5">
        <v>32</v>
      </c>
      <c r="E29" s="13">
        <v>4.2</v>
      </c>
      <c r="F29" s="7"/>
      <c r="G29" s="5"/>
      <c r="H29" s="5">
        <f>C29+(D29*84/1000)+(E29*264/1000)</f>
        <v>89.766800000000003</v>
      </c>
    </row>
    <row r="30" spans="1:8" s="161" customFormat="1" x14ac:dyDescent="0.35">
      <c r="A30" s="182" t="s">
        <v>153</v>
      </c>
      <c r="B30" s="185">
        <v>38</v>
      </c>
      <c r="C30" s="185">
        <v>75</v>
      </c>
      <c r="D30" s="185">
        <v>32</v>
      </c>
      <c r="E30" s="191">
        <v>4.2</v>
      </c>
      <c r="F30" s="192"/>
      <c r="G30" s="185"/>
      <c r="H30" s="185">
        <f>C30+(D30*84/1000)+(E30*264/1000)</f>
        <v>78.796800000000005</v>
      </c>
    </row>
    <row r="31" spans="1:8" x14ac:dyDescent="0.35">
      <c r="A31" s="14" t="s">
        <v>154</v>
      </c>
      <c r="B31" s="4" t="s">
        <v>122</v>
      </c>
      <c r="C31" s="4"/>
      <c r="D31" s="4"/>
      <c r="E31" s="15"/>
      <c r="F31" s="6"/>
      <c r="G31" s="4"/>
      <c r="H31" s="4"/>
    </row>
    <row r="32" spans="1:8" s="161" customFormat="1" x14ac:dyDescent="0.35">
      <c r="A32" s="182" t="s">
        <v>155</v>
      </c>
      <c r="B32" s="185">
        <v>17.48</v>
      </c>
      <c r="C32" s="185">
        <v>93.8</v>
      </c>
      <c r="D32" s="185">
        <v>7.2</v>
      </c>
      <c r="E32" s="191">
        <v>3.6</v>
      </c>
      <c r="F32" s="192"/>
      <c r="G32" s="185"/>
      <c r="H32" s="185">
        <f>C32+(D32*84/1000)+(E32*264/1000)</f>
        <v>95.355199999999996</v>
      </c>
    </row>
    <row r="33" spans="1:10" x14ac:dyDescent="0.35">
      <c r="A33" s="12" t="s">
        <v>156</v>
      </c>
      <c r="B33" s="5">
        <v>8.25</v>
      </c>
      <c r="C33" s="5">
        <v>118.17</v>
      </c>
      <c r="D33" s="5">
        <v>32</v>
      </c>
      <c r="E33" s="13">
        <v>4.2</v>
      </c>
      <c r="F33" s="7"/>
      <c r="G33" s="5"/>
      <c r="H33" s="5">
        <f>C33+(D33*84/1000)+(E33*264/1000)</f>
        <v>121.96680000000001</v>
      </c>
    </row>
    <row r="34" spans="1:10" s="161" customFormat="1" x14ac:dyDescent="0.35">
      <c r="A34" s="182" t="s">
        <v>157</v>
      </c>
      <c r="B34" s="185">
        <v>8</v>
      </c>
      <c r="C34" s="185">
        <v>111.84</v>
      </c>
      <c r="D34" s="185">
        <v>32</v>
      </c>
      <c r="E34" s="191">
        <v>4.2</v>
      </c>
      <c r="F34" s="192"/>
      <c r="G34" s="185"/>
      <c r="H34" s="185">
        <f>C34+(D34*84/1000)+(E34*264/1000)</f>
        <v>115.63680000000001</v>
      </c>
    </row>
    <row r="35" spans="1:10" x14ac:dyDescent="0.35">
      <c r="A35" s="12" t="s">
        <v>158</v>
      </c>
      <c r="B35" s="5">
        <v>10.39</v>
      </c>
      <c r="C35" s="5">
        <v>105.51</v>
      </c>
      <c r="D35" s="5">
        <v>32</v>
      </c>
      <c r="E35" s="13">
        <v>4.2</v>
      </c>
      <c r="F35" s="7"/>
      <c r="G35" s="5"/>
      <c r="H35" s="5">
        <f>C35+(D35*84/1000)+(E35*264/1000)</f>
        <v>109.30680000000001</v>
      </c>
    </row>
    <row r="36" spans="1:10" x14ac:dyDescent="0.35">
      <c r="A36" s="14" t="s">
        <v>159</v>
      </c>
      <c r="B36" s="4" t="s">
        <v>160</v>
      </c>
      <c r="C36" s="4"/>
      <c r="D36" s="4"/>
      <c r="E36" s="15"/>
      <c r="F36" s="6"/>
      <c r="G36" s="4"/>
      <c r="H36" s="4"/>
    </row>
    <row r="37" spans="1:10" s="161" customFormat="1" x14ac:dyDescent="0.35">
      <c r="A37" s="182" t="s">
        <v>161</v>
      </c>
      <c r="B37" s="185">
        <f>0.485 * 10^-3</f>
        <v>4.8499999999999997E-4</v>
      </c>
      <c r="C37" s="185">
        <v>52.07</v>
      </c>
      <c r="D37" s="185">
        <v>3.2</v>
      </c>
      <c r="E37" s="191">
        <v>0.63</v>
      </c>
      <c r="F37" s="192"/>
      <c r="G37" s="185"/>
      <c r="H37" s="185">
        <f>C37+(D37*84/1000)+(E37*264/1000)</f>
        <v>52.505119999999998</v>
      </c>
    </row>
    <row r="38" spans="1:10" x14ac:dyDescent="0.35">
      <c r="A38" s="12" t="s">
        <v>162</v>
      </c>
      <c r="B38" s="5">
        <f>0.655* 10^-3</f>
        <v>6.5500000000000009E-4</v>
      </c>
      <c r="C38" s="5">
        <v>52.07</v>
      </c>
      <c r="D38" s="5">
        <v>3.2</v>
      </c>
      <c r="E38" s="13">
        <v>0.63</v>
      </c>
      <c r="F38" s="7"/>
      <c r="G38" s="5"/>
      <c r="H38" s="5">
        <f>C38+(D38*84/1000)+(E38*264/1000)</f>
        <v>52.505119999999998</v>
      </c>
    </row>
    <row r="39" spans="1:10" x14ac:dyDescent="0.35">
      <c r="A39" s="14" t="s">
        <v>163</v>
      </c>
      <c r="B39" s="4" t="s">
        <v>164</v>
      </c>
      <c r="C39" s="4"/>
      <c r="D39" s="4"/>
      <c r="E39" s="15"/>
      <c r="F39" s="6"/>
      <c r="G39" s="4"/>
      <c r="H39" s="4"/>
    </row>
    <row r="40" spans="1:10" s="161" customFormat="1" x14ac:dyDescent="0.35">
      <c r="A40" s="182" t="s">
        <v>165</v>
      </c>
      <c r="B40" s="185">
        <v>8.4000000000000005E-2</v>
      </c>
      <c r="C40" s="185">
        <v>68.44</v>
      </c>
      <c r="D40" s="185">
        <v>1.1000000000000001</v>
      </c>
      <c r="E40" s="191">
        <v>0.11</v>
      </c>
      <c r="F40" s="192"/>
      <c r="G40" s="185"/>
      <c r="H40" s="185">
        <f>C40+(D40*84/1000)+(E40*264/1000)</f>
        <v>68.56143999999999</v>
      </c>
    </row>
    <row r="41" spans="1:10" x14ac:dyDescent="0.35">
      <c r="A41" s="12" t="s">
        <v>166</v>
      </c>
      <c r="B41" s="5">
        <v>0.128</v>
      </c>
      <c r="C41" s="5">
        <v>73.84</v>
      </c>
      <c r="D41" s="5">
        <v>1.1000000000000001</v>
      </c>
      <c r="E41" s="13">
        <v>0.11</v>
      </c>
      <c r="F41" s="7"/>
      <c r="G41" s="5"/>
      <c r="H41" s="5">
        <f>C41+(D41*84/1000)+(E41*264/1000)</f>
        <v>73.961439999999996</v>
      </c>
    </row>
    <row r="42" spans="1:10" s="161" customFormat="1" x14ac:dyDescent="0.35">
      <c r="A42" s="182" t="s">
        <v>167</v>
      </c>
      <c r="B42" s="185">
        <v>0.125</v>
      </c>
      <c r="C42" s="185">
        <v>71.06</v>
      </c>
      <c r="D42" s="185">
        <v>1.1000000000000001</v>
      </c>
      <c r="E42" s="191">
        <v>0.11</v>
      </c>
      <c r="F42" s="192"/>
      <c r="G42" s="185"/>
      <c r="H42" s="185">
        <f>C42+(D42*84/1000)+(E42*264/1000)</f>
        <v>71.181439999999995</v>
      </c>
    </row>
    <row r="43" spans="1:10" ht="15" thickBot="1" x14ac:dyDescent="0.4">
      <c r="A43" s="16" t="s">
        <v>168</v>
      </c>
      <c r="B43" s="17">
        <v>0.12</v>
      </c>
      <c r="C43" s="17">
        <v>81.55</v>
      </c>
      <c r="D43" s="17">
        <v>1.1000000000000001</v>
      </c>
      <c r="E43" s="18">
        <v>0.11</v>
      </c>
      <c r="F43" s="7"/>
      <c r="G43" s="5"/>
      <c r="H43" s="5">
        <f>C43+(D43*84/1000)+(E43*264/1000)</f>
        <v>81.67143999999999</v>
      </c>
    </row>
    <row r="44" spans="1:10" x14ac:dyDescent="0.35">
      <c r="J44" s="161"/>
    </row>
    <row r="45" spans="1:10" x14ac:dyDescent="0.35">
      <c r="A45" s="161"/>
    </row>
    <row r="46" spans="1:10" x14ac:dyDescent="0.35">
      <c r="A46" t="s">
        <v>169</v>
      </c>
    </row>
    <row r="48" spans="1:10" x14ac:dyDescent="0.35">
      <c r="A48" t="s">
        <v>170</v>
      </c>
    </row>
  </sheetData>
  <sheetProtection algorithmName="SHA-512" hashValue="mpVCrrbExY6BJr7ul/tXWHRIMgzsytT9prYXiz9OHhEc3h3c28whERXE0PWrN1M7jllRldVt/RwKGLCfnyQFJA==" saltValue="qlyLX5+NXPpdxQzTUljUMQ==" spinCount="100000" sheet="1" objects="1" scenarios="1"/>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A75B-2C1C-445E-9EB1-E0DF0F55843C}">
  <dimension ref="A1:C11"/>
  <sheetViews>
    <sheetView showGridLines="0" workbookViewId="0">
      <selection activeCell="A3" sqref="A3"/>
    </sheetView>
  </sheetViews>
  <sheetFormatPr defaultRowHeight="14.5" x14ac:dyDescent="0.35"/>
  <cols>
    <col min="1" max="1" width="22" style="19" customWidth="1"/>
    <col min="2" max="2" width="62.7265625" customWidth="1"/>
  </cols>
  <sheetData>
    <row r="1" spans="1:3" ht="26" x14ac:dyDescent="0.6">
      <c r="A1" s="342" t="s">
        <v>171</v>
      </c>
      <c r="B1" s="342"/>
      <c r="C1" s="342"/>
    </row>
    <row r="2" spans="1:3" ht="32.5" customHeight="1" x14ac:dyDescent="0.6">
      <c r="A2" s="343" t="s">
        <v>172</v>
      </c>
      <c r="B2" s="344"/>
      <c r="C2" s="344"/>
    </row>
    <row r="3" spans="1:3" ht="14.5" customHeight="1" x14ac:dyDescent="0.35">
      <c r="A3" s="157" t="s">
        <v>173</v>
      </c>
    </row>
    <row r="4" spans="1:3" ht="14.5" customHeight="1" x14ac:dyDescent="0.35"/>
    <row r="5" spans="1:3" x14ac:dyDescent="0.35">
      <c r="A5" s="19" t="s">
        <v>174</v>
      </c>
      <c r="B5" s="19" t="s">
        <v>175</v>
      </c>
      <c r="C5" t="s">
        <v>176</v>
      </c>
    </row>
    <row r="6" spans="1:3" ht="64.5" customHeight="1" x14ac:dyDescent="0.35">
      <c r="A6" t="s">
        <v>177</v>
      </c>
      <c r="B6" s="19" t="s">
        <v>178</v>
      </c>
      <c r="C6">
        <v>0</v>
      </c>
    </row>
    <row r="7" spans="1:3" ht="36.75" customHeight="1" x14ac:dyDescent="0.35">
      <c r="A7" t="s">
        <v>179</v>
      </c>
      <c r="B7" s="19" t="s">
        <v>180</v>
      </c>
      <c r="C7">
        <v>0.1</v>
      </c>
    </row>
    <row r="8" spans="1:3" ht="53.25" customHeight="1" x14ac:dyDescent="0.35">
      <c r="A8" t="s">
        <v>181</v>
      </c>
      <c r="B8" s="19" t="s">
        <v>182</v>
      </c>
      <c r="C8">
        <v>0.1</v>
      </c>
    </row>
    <row r="9" spans="1:3" ht="60.75" customHeight="1" x14ac:dyDescent="0.35">
      <c r="A9" t="s">
        <v>183</v>
      </c>
      <c r="B9" s="19" t="s">
        <v>184</v>
      </c>
      <c r="C9">
        <v>0.35</v>
      </c>
    </row>
    <row r="10" spans="1:3" ht="65.25" customHeight="1" x14ac:dyDescent="0.35">
      <c r="A10" t="s">
        <v>185</v>
      </c>
      <c r="B10" s="19" t="s">
        <v>186</v>
      </c>
      <c r="C10">
        <v>0.25</v>
      </c>
    </row>
    <row r="11" spans="1:3" ht="68.25" customHeight="1" x14ac:dyDescent="0.35">
      <c r="A11" t="s">
        <v>187</v>
      </c>
      <c r="B11" s="19" t="s">
        <v>188</v>
      </c>
      <c r="C11">
        <v>0.1</v>
      </c>
    </row>
  </sheetData>
  <sheetProtection algorithmName="SHA-512" hashValue="4zeVd+6sqTuAIhxWHm/qUIzbvZMLOzqNcgXWGiOEBmu63OPe157vSLuSw6CiFZ1x5kPUlSoParimcuw3EOcZVA==" saltValue="QlSGOhmSzXAsVJ3r76drEg==" spinCount="100000" sheet="1" objects="1" scenarios="1"/>
  <mergeCells count="2">
    <mergeCell ref="A1:C1"/>
    <mergeCell ref="A2:C2"/>
  </mergeCells>
  <hyperlinks>
    <hyperlink ref="A3" location="'MSW Landfills'!A1" display="return to MSW Landfills" xr:uid="{8EF2064A-C4ED-41DD-BE44-EE909102697B}"/>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F5B5-5F9C-441D-AEB9-987967D270AD}">
  <dimension ref="A1:B5"/>
  <sheetViews>
    <sheetView showGridLines="0" workbookViewId="0">
      <selection activeCell="E7" sqref="E7"/>
    </sheetView>
  </sheetViews>
  <sheetFormatPr defaultRowHeight="14.5" x14ac:dyDescent="0.35"/>
  <cols>
    <col min="1" max="1" width="14" customWidth="1"/>
    <col min="2" max="2" width="77.1796875" customWidth="1"/>
  </cols>
  <sheetData>
    <row r="1" spans="1:2" ht="55.5" customHeight="1" x14ac:dyDescent="0.6">
      <c r="A1" s="345" t="s">
        <v>215</v>
      </c>
      <c r="B1" s="345"/>
    </row>
    <row r="2" spans="1:2" ht="15" thickBot="1" x14ac:dyDescent="0.4"/>
    <row r="3" spans="1:2" ht="24" customHeight="1" x14ac:dyDescent="0.35">
      <c r="A3" s="243" t="s">
        <v>212</v>
      </c>
      <c r="B3" s="242" t="s">
        <v>213</v>
      </c>
    </row>
    <row r="4" spans="1:2" ht="81" customHeight="1" thickBot="1" x14ac:dyDescent="0.4">
      <c r="A4" s="246">
        <v>45777</v>
      </c>
      <c r="B4" s="239" t="s">
        <v>223</v>
      </c>
    </row>
    <row r="5" spans="1:2" x14ac:dyDescent="0.35">
      <c r="A5" s="241">
        <v>45751</v>
      </c>
      <c r="B5" s="238" t="s">
        <v>214</v>
      </c>
    </row>
  </sheetData>
  <sheetProtection algorithmName="SHA-512" hashValue="3Gdq6xvdRKyC+s4b5GmEEMgBKsaiLIUE75O2U1vnx8NAo9/OFKg+oP93bMk/4uXn/jY+/Y1uQ8qyQZDs7CwODQ==" saltValue="as8p3UqbYYFDO6uq8Eoo8Q==" spinCount="100000" sheet="1" objects="1" scenarios="1"/>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7efb73-9b69-44df-a541-35622d1b3aec">
      <Terms xmlns="http://schemas.microsoft.com/office/infopath/2007/PartnerControls"/>
    </lcf76f155ced4ddcb4097134ff3c332f>
    <TaxCatchAll xmlns="a3d202fa-1933-4420-ab07-2ee53e82da18" xsi:nil="true"/>
    <InWorkflow xmlns="d27efb73-9b69-44df-a541-35622d1b3aec">In Workflow</InWorkflow>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42AAD2AAA4B840A4F4E7FC718F57B8" ma:contentTypeVersion="16" ma:contentTypeDescription="Create a new document." ma:contentTypeScope="" ma:versionID="2fdb5747c825db404d199c4e2cad89a6">
  <xsd:schema xmlns:xsd="http://www.w3.org/2001/XMLSchema" xmlns:xs="http://www.w3.org/2001/XMLSchema" xmlns:p="http://schemas.microsoft.com/office/2006/metadata/properties" xmlns:ns2="d27efb73-9b69-44df-a541-35622d1b3aec" xmlns:ns3="a3d202fa-1933-4420-ab07-2ee53e82da18" targetNamespace="http://schemas.microsoft.com/office/2006/metadata/properties" ma:root="true" ma:fieldsID="8ae47db37957d78e489c7eb68f835ca3" ns2:_="" ns3:_="">
    <xsd:import namespace="d27efb73-9b69-44df-a541-35622d1b3aec"/>
    <xsd:import namespace="a3d202fa-1933-4420-ab07-2ee53e82da1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InWorkflow" minOccurs="0"/>
                <xsd:element ref="ns2:MediaServiceLocation" minOccurs="0"/>
                <xsd:element ref="ns2:MediaServiceObjectDetectorVersions"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efb73-9b69-44df-a541-35622d1b3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InWorkflow" ma:index="17" nillable="true" ma:displayName="InWorkflow" ma:default="In Workflow" ma:format="RadioButtons" ma:indexed="true" ma:internalName="InWorkflow">
      <xsd:simpleType>
        <xsd:restriction base="dms:Choice">
          <xsd:enumeration value="Completed"/>
          <xsd:enumeration value="In Workflow"/>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202fa-1933-4420-ab07-2ee53e82da1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bab6c2b-adfa-4322-af15-bd4b2d671278}" ma:internalName="TaxCatchAll" ma:showField="CatchAllData" ma:web="a3d202fa-1933-4420-ab07-2ee53e82da1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90369E-51E2-4B04-896C-3975DD9129A9}">
  <ds:schemaRefs>
    <ds:schemaRef ds:uri="http://schemas.microsoft.com/office/infopath/2007/PartnerControls"/>
    <ds:schemaRef ds:uri="http://schemas.microsoft.com/office/2006/documentManagement/types"/>
    <ds:schemaRef ds:uri="7d6c6081-b833-415a-8d2d-750b89fe1fe2"/>
    <ds:schemaRef ds:uri="http://purl.org/dc/dcmitype/"/>
    <ds:schemaRef ds:uri="http://purl.org/dc/elements/1.1/"/>
    <ds:schemaRef ds:uri="http://schemas.openxmlformats.org/package/2006/metadata/core-properties"/>
    <ds:schemaRef ds:uri="c9e60429-3073-47a3-9bf8-27645aff9dc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793548B-9CF0-481C-8973-A3CAAEFECECF}">
  <ds:schemaRefs>
    <ds:schemaRef ds:uri="http://schemas.microsoft.com/sharepoint/v3/contenttype/forms"/>
  </ds:schemaRefs>
</ds:datastoreItem>
</file>

<file path=customXml/itemProps3.xml><?xml version="1.0" encoding="utf-8"?>
<ds:datastoreItem xmlns:ds="http://schemas.openxmlformats.org/officeDocument/2006/customXml" ds:itemID="{DE390AB6-02B6-4859-A431-C0EBE4D175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Table of Contents</vt:lpstr>
      <vt:lpstr>Fuel Combustion Emissions</vt:lpstr>
      <vt:lpstr>MSW Landfills</vt:lpstr>
      <vt:lpstr>Cement Production</vt:lpstr>
      <vt:lpstr>Glass Production</vt:lpstr>
      <vt:lpstr>Electronics Manufacturing</vt:lpstr>
      <vt:lpstr>Emission Factors</vt:lpstr>
      <vt:lpstr>Landfill Cover Types</vt:lpstr>
      <vt:lpstr>Change Log</vt:lpstr>
      <vt:lpstr>F-gas EFs (hide)</vt:lpstr>
      <vt:lpstr>list items (hide)</vt:lpstr>
      <vt:lpstr>DOC</vt:lpstr>
      <vt:lpstr>DOCF</vt:lpstr>
      <vt:lpstr>Emissions_Type</vt:lpstr>
      <vt:lpstr>F</vt:lpstr>
      <vt:lpstr>Fuel_Type</vt:lpstr>
      <vt:lpstr>k</vt:lpstr>
      <vt:lpstr>MCF</vt:lpstr>
      <vt:lpstr>OX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Brinsko, Dan (DEC)</dc:creator>
  <cp:keywords/>
  <dc:description/>
  <cp:lastModifiedBy>Palmer, Donald G (DEC)</cp:lastModifiedBy>
  <cp:revision/>
  <dcterms:created xsi:type="dcterms:W3CDTF">2025-03-11T12:59:34Z</dcterms:created>
  <dcterms:modified xsi:type="dcterms:W3CDTF">2025-04-29T20:48:46Z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0x0101008F42AAD2AAA4B840A4F4E7FC718F57B8</vt:lpwstr>
  </property>
  <property fmtid="{D5CDD505-2E9C-101B-9397-08002B2CF9AE}" pid="3" name="MediaServiceImageTags">
    <vt:lpwstr/>
  </property>
</Properties>
</file>