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codeName="ThisWorkbook" defaultThemeVersion="124226"/>
  <mc:AlternateContent xmlns:mc="http://schemas.openxmlformats.org/markup-compatibility/2006">
    <mc:Choice Requires="x15">
      <x15ac:absPath xmlns:x15ac="http://schemas.microsoft.com/office/spreadsheetml/2010/11/ac" url="https://nysemail-my.sharepoint.com/personal/kimberly_taylor_dec_ny_gov/Documents/Desktop/"/>
    </mc:Choice>
  </mc:AlternateContent>
  <xr:revisionPtr revIDLastSave="0" documentId="8_{04CA8F86-1FDE-4CC1-A44C-D3E668ED637C}" xr6:coauthVersionLast="47" xr6:coauthVersionMax="47" xr10:uidLastSave="{00000000-0000-0000-0000-000000000000}"/>
  <bookViews>
    <workbookView xWindow="-110" yWindow="-110" windowWidth="19420" windowHeight="11500" tabRatio="941" firstSheet="5" activeTab="6" xr2:uid="{00000000-000D-0000-FFFF-FFFF00000000}"/>
  </bookViews>
  <sheets>
    <sheet name="NOI QUESTIONS" sheetId="46" r:id="rId1"/>
    <sheet name="STEP 1-Site Planning" sheetId="19" r:id="rId2"/>
    <sheet name="STEP 2-WQv Calculation" sheetId="28" r:id="rId3"/>
    <sheet name="Step 3+5-Summary Table" sheetId="44" r:id="rId4"/>
    <sheet name="STEP 3-GI Evaluation" sheetId="89" r:id="rId5"/>
    <sheet name="STEP 4-Min RRv" sheetId="43" r:id="rId6"/>
    <sheet name="(RR-1) Conservation" sheetId="52" r:id="rId7"/>
    <sheet name="(RR-2) Riparian Buffer" sheetId="68" r:id="rId8"/>
    <sheet name="(RR-2) Grass Filter Strip" sheetId="72" r:id="rId9"/>
    <sheet name="(RR-3) Tree Planting" sheetId="55" r:id="rId10"/>
    <sheet name="(RR-3) Tree Pit" sheetId="74" r:id="rId11"/>
    <sheet name="(RR-3) Tree Trench" sheetId="75" r:id="rId12"/>
    <sheet name="(RR-4) Disconnection" sheetId="73" r:id="rId13"/>
    <sheet name="(RR-5) Vegetated Swale" sheetId="41" r:id="rId14"/>
    <sheet name="(RR-6) Rain Garden" sheetId="76" r:id="rId15"/>
    <sheet name="(RR-7) Stormwater Planter" sheetId="82" r:id="rId16"/>
    <sheet name="(RR-8) Rainwater Harvesting" sheetId="33" r:id="rId17"/>
    <sheet name="(RR-9) Porous Pavement" sheetId="38" r:id="rId18"/>
    <sheet name="(RR-10) Green Roof" sheetId="36" r:id="rId19"/>
    <sheet name="(P-1 thru P-4) Ponds" sheetId="90" r:id="rId20"/>
    <sheet name="(W-1 thru W-4) Wetlands" sheetId="92" r:id="rId21"/>
    <sheet name="(W-5) Gravel Wetland" sheetId="94" r:id="rId22"/>
    <sheet name="(I-1) Infiltration Trench" sheetId="59" r:id="rId23"/>
    <sheet name="(I-2) Infiltration Basin" sheetId="83" r:id="rId24"/>
    <sheet name="(I-3) Dry Well" sheetId="84" r:id="rId25"/>
    <sheet name="(I-4) Underground Infiltration" sheetId="87" r:id="rId26"/>
    <sheet name="(F-1 thru F-3) Filters" sheetId="95" r:id="rId27"/>
    <sheet name="(F-4) Infiltration Bioretention" sheetId="66" r:id="rId28"/>
    <sheet name="LOGIC" sheetId="57" state="hidden" r:id="rId29"/>
    <sheet name="Sheet1" sheetId="61" state="hidden" r:id="rId30"/>
    <sheet name="(F-5) Filtration Bioretention" sheetId="85" r:id="rId31"/>
    <sheet name="(F-6) Bioslope" sheetId="86" r:id="rId32"/>
    <sheet name="(O-1) Dry Swale" sheetId="34" r:id="rId33"/>
    <sheet name="(O-2) Wet Swale" sheetId="96" r:id="rId34"/>
    <sheet name="Flow Based Alt. Practice" sheetId="97" r:id="rId35"/>
    <sheet name="Appendix B - WQf" sheetId="98" r:id="rId36"/>
    <sheet name="Errata" sheetId="65" state="hidden" r:id="rId37"/>
    <sheet name="Reference" sheetId="80" state="hidden" r:id="rId38"/>
  </sheets>
  <definedNames>
    <definedName name="_Toc60210405" localSheetId="4">'STEP 3-GI Evaluation'!$C$2</definedName>
    <definedName name="AreaNumber">'STEP 2-WQv Calculation'!$A$8:$A$17</definedName>
    <definedName name="CatchNo">LOGIC!$A$4:$A$33</definedName>
    <definedName name="Considered">LOGIC!$C$32:$C$34</definedName>
    <definedName name="Cpv" localSheetId="28">'NOI QUESTIONS'!#REF!</definedName>
    <definedName name="InfiltrationBasin">LOGIC!$C$37:$C$41</definedName>
    <definedName name="Practice">LOGIC!$C$13:$C$30</definedName>
    <definedName name="Practices">LOGIC!$C$13:$C$30</definedName>
    <definedName name="PracticesA">LOGIC!$C$1:$C$10</definedName>
    <definedName name="PracticesB">LOGIC!$E$1:$E$6</definedName>
    <definedName name="_xlnm.Print_Area" localSheetId="25">'(I-4) Underground Infiltration'!$A$1:$P$120</definedName>
    <definedName name="_xlnm.Print_Area" localSheetId="15">'(RR-7) Stormwater Planter'!$A$1:$H$130</definedName>
    <definedName name="Reroute">LOGIC!$E$13:$E$15</definedName>
    <definedName name="Reroute2">LOGIC!$E$12:$E$15</definedName>
    <definedName name="Reroute3">LOGIC!$E$12:$E$16</definedName>
    <definedName name="RGPERC">LOGIC!$F$20:$F$21</definedName>
    <definedName name="Soil">LOGIC!$F$13:$F$16</definedName>
    <definedName name="Soils2">LOGIC!$F$25:$F$30</definedName>
    <definedName name="SoilType">LOGIC!$G$1:$G$4</definedName>
    <definedName name="Tree">LOGIC!$F$33:$F$34</definedName>
    <definedName name="Underdrain">LOGIC!$C$43</definedName>
    <definedName name="Underdrains">LOGIC!$C$43:$C$44</definedName>
    <definedName name="YesNo">LOGIC!$A$1:$A$2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52" l="1"/>
  <c r="K4" i="41"/>
  <c r="K3" i="41"/>
  <c r="K2" i="41"/>
  <c r="C125" i="55"/>
  <c r="C100" i="55"/>
  <c r="C75" i="55"/>
  <c r="C50" i="55"/>
  <c r="C25" i="55"/>
  <c r="C142" i="52"/>
  <c r="C138" i="52"/>
  <c r="H137" i="52"/>
  <c r="H139" i="52" s="1"/>
  <c r="G137" i="52"/>
  <c r="F137" i="52"/>
  <c r="F139" i="52" s="1"/>
  <c r="E137" i="52"/>
  <c r="D137" i="52"/>
  <c r="D139" i="52" s="1"/>
  <c r="C137" i="52"/>
  <c r="C139" i="52" s="1"/>
  <c r="G139" i="52" s="1"/>
  <c r="H134" i="52"/>
  <c r="H133" i="52"/>
  <c r="H132" i="52"/>
  <c r="H131" i="52"/>
  <c r="B129" i="52"/>
  <c r="F30" i="41"/>
  <c r="F32" i="41"/>
  <c r="F26" i="41"/>
  <c r="F13" i="41"/>
  <c r="F11" i="41"/>
  <c r="C128" i="52"/>
  <c r="C114" i="52"/>
  <c r="C100" i="52"/>
  <c r="C86" i="52"/>
  <c r="C72" i="52"/>
  <c r="C58" i="52"/>
  <c r="C44" i="52"/>
  <c r="D190" i="97"/>
  <c r="F188" i="97"/>
  <c r="E182" i="97"/>
  <c r="E181" i="97"/>
  <c r="E180" i="97"/>
  <c r="E179" i="97"/>
  <c r="E178" i="97"/>
  <c r="E177" i="97"/>
  <c r="H175" i="97"/>
  <c r="G175" i="97"/>
  <c r="F175" i="97"/>
  <c r="E183" i="97" s="1"/>
  <c r="E175" i="97"/>
  <c r="D175" i="97"/>
  <c r="C175" i="97"/>
  <c r="B175" i="97"/>
  <c r="B172" i="97"/>
  <c r="D171" i="97"/>
  <c r="F169" i="97"/>
  <c r="E163" i="97"/>
  <c r="E162" i="97"/>
  <c r="E161" i="97"/>
  <c r="E160" i="97"/>
  <c r="E159" i="97"/>
  <c r="E158" i="97"/>
  <c r="H156" i="97"/>
  <c r="G156" i="97"/>
  <c r="F156" i="97"/>
  <c r="E164" i="97" s="1"/>
  <c r="E156" i="97"/>
  <c r="D156" i="97"/>
  <c r="C156" i="97"/>
  <c r="B156" i="97"/>
  <c r="B153" i="97"/>
  <c r="D152" i="97"/>
  <c r="F150" i="97"/>
  <c r="E144" i="97"/>
  <c r="E143" i="97"/>
  <c r="E142" i="97"/>
  <c r="E141" i="97"/>
  <c r="E140" i="97"/>
  <c r="E139" i="97"/>
  <c r="H137" i="97"/>
  <c r="G137" i="97"/>
  <c r="F137" i="97"/>
  <c r="E145" i="97" s="1"/>
  <c r="E137" i="97"/>
  <c r="D137" i="97"/>
  <c r="C137" i="97"/>
  <c r="B137" i="97"/>
  <c r="B134" i="97"/>
  <c r="D133" i="97"/>
  <c r="F131" i="97"/>
  <c r="E125" i="97"/>
  <c r="E124" i="97"/>
  <c r="E123" i="97"/>
  <c r="E122" i="97"/>
  <c r="E121" i="97"/>
  <c r="E120" i="97"/>
  <c r="H118" i="97"/>
  <c r="G118" i="97"/>
  <c r="F118" i="97"/>
  <c r="E126" i="97" s="1"/>
  <c r="E118" i="97"/>
  <c r="D118" i="97"/>
  <c r="C118" i="97"/>
  <c r="B118" i="97"/>
  <c r="B115" i="97"/>
  <c r="D114" i="97"/>
  <c r="F112" i="97"/>
  <c r="E106" i="97"/>
  <c r="E105" i="97"/>
  <c r="E104" i="97"/>
  <c r="E103" i="97"/>
  <c r="E102" i="97"/>
  <c r="E101" i="97"/>
  <c r="H99" i="97"/>
  <c r="G99" i="97"/>
  <c r="F99" i="97"/>
  <c r="E107" i="97" s="1"/>
  <c r="E99" i="97"/>
  <c r="D99" i="97"/>
  <c r="C99" i="97"/>
  <c r="B99" i="97"/>
  <c r="B96" i="97"/>
  <c r="D95" i="97"/>
  <c r="D76" i="97"/>
  <c r="D57" i="97"/>
  <c r="D38" i="97"/>
  <c r="D19" i="97"/>
  <c r="D310" i="96"/>
  <c r="F308" i="96"/>
  <c r="F307" i="96"/>
  <c r="D307" i="96"/>
  <c r="F306" i="96"/>
  <c r="D304" i="96"/>
  <c r="D303" i="96"/>
  <c r="D302" i="96"/>
  <c r="D299" i="96"/>
  <c r="D300" i="96" s="1"/>
  <c r="F298" i="96"/>
  <c r="D297" i="96"/>
  <c r="F297" i="96" s="1"/>
  <c r="F296" i="96"/>
  <c r="D294" i="96"/>
  <c r="D293" i="96"/>
  <c r="F291" i="96"/>
  <c r="F290" i="96"/>
  <c r="E287" i="96"/>
  <c r="E285" i="96"/>
  <c r="H283" i="96"/>
  <c r="G283" i="96"/>
  <c r="F283" i="96"/>
  <c r="D295" i="96" s="1"/>
  <c r="E283" i="96"/>
  <c r="D283" i="96"/>
  <c r="C283" i="96"/>
  <c r="B283" i="96"/>
  <c r="D286" i="96" s="1"/>
  <c r="E286" i="96" s="1"/>
  <c r="B280" i="96"/>
  <c r="D279" i="96"/>
  <c r="F277" i="96"/>
  <c r="F276" i="96"/>
  <c r="D276" i="96"/>
  <c r="F275" i="96"/>
  <c r="D273" i="96"/>
  <c r="D271" i="96"/>
  <c r="D272" i="96" s="1"/>
  <c r="D268" i="96"/>
  <c r="D269" i="96" s="1"/>
  <c r="F267" i="96"/>
  <c r="F265" i="96"/>
  <c r="D263" i="96"/>
  <c r="D266" i="96" s="1"/>
  <c r="F266" i="96" s="1"/>
  <c r="D262" i="96"/>
  <c r="F260" i="96"/>
  <c r="F259" i="96"/>
  <c r="E256" i="96"/>
  <c r="E254" i="96"/>
  <c r="H252" i="96"/>
  <c r="G252" i="96"/>
  <c r="F252" i="96"/>
  <c r="E252" i="96"/>
  <c r="D252" i="96"/>
  <c r="C252" i="96"/>
  <c r="B252" i="96"/>
  <c r="D255" i="96" s="1"/>
  <c r="E255" i="96" s="1"/>
  <c r="B249" i="96"/>
  <c r="D248" i="96"/>
  <c r="F246" i="96"/>
  <c r="F245" i="96"/>
  <c r="D245" i="96"/>
  <c r="F244" i="96"/>
  <c r="D242" i="96"/>
  <c r="D240" i="96"/>
  <c r="D241" i="96" s="1"/>
  <c r="D237" i="96"/>
  <c r="D238" i="96" s="1"/>
  <c r="F236" i="96"/>
  <c r="F234" i="96"/>
  <c r="D232" i="96"/>
  <c r="D235" i="96" s="1"/>
  <c r="F235" i="96" s="1"/>
  <c r="D231" i="96"/>
  <c r="F229" i="96"/>
  <c r="F228" i="96"/>
  <c r="E225" i="96"/>
  <c r="E223" i="96"/>
  <c r="H221" i="96"/>
  <c r="G221" i="96"/>
  <c r="F221" i="96"/>
  <c r="E221" i="96"/>
  <c r="D221" i="96"/>
  <c r="C221" i="96"/>
  <c r="B221" i="96"/>
  <c r="D224" i="96" s="1"/>
  <c r="E224" i="96" s="1"/>
  <c r="B218" i="96"/>
  <c r="D217" i="96"/>
  <c r="F215" i="96"/>
  <c r="F214" i="96"/>
  <c r="D214" i="96"/>
  <c r="F213" i="96"/>
  <c r="D211" i="96"/>
  <c r="D209" i="96"/>
  <c r="D210" i="96" s="1"/>
  <c r="D206" i="96"/>
  <c r="D207" i="96" s="1"/>
  <c r="F205" i="96"/>
  <c r="F203" i="96"/>
  <c r="D201" i="96"/>
  <c r="D204" i="96" s="1"/>
  <c r="F204" i="96" s="1"/>
  <c r="D200" i="96"/>
  <c r="F198" i="96"/>
  <c r="F197" i="96"/>
  <c r="E194" i="96"/>
  <c r="E192" i="96"/>
  <c r="H190" i="96"/>
  <c r="G190" i="96"/>
  <c r="F190" i="96"/>
  <c r="E190" i="96"/>
  <c r="D190" i="96"/>
  <c r="C190" i="96"/>
  <c r="B190" i="96"/>
  <c r="D193" i="96" s="1"/>
  <c r="E193" i="96" s="1"/>
  <c r="B187" i="96"/>
  <c r="D186" i="96"/>
  <c r="F184" i="96"/>
  <c r="F183" i="96"/>
  <c r="D183" i="96"/>
  <c r="F182" i="96"/>
  <c r="D180" i="96"/>
  <c r="D178" i="96"/>
  <c r="D179" i="96" s="1"/>
  <c r="D175" i="96"/>
  <c r="D176" i="96" s="1"/>
  <c r="F174" i="96"/>
  <c r="F172" i="96"/>
  <c r="D170" i="96"/>
  <c r="D173" i="96" s="1"/>
  <c r="D169" i="96"/>
  <c r="F173" i="96" s="1"/>
  <c r="F167" i="96"/>
  <c r="F166" i="96"/>
  <c r="E163" i="96"/>
  <c r="E161" i="96"/>
  <c r="H159" i="96"/>
  <c r="G159" i="96"/>
  <c r="F159" i="96"/>
  <c r="E159" i="96"/>
  <c r="D159" i="96"/>
  <c r="C159" i="96"/>
  <c r="B159" i="96"/>
  <c r="D162" i="96" s="1"/>
  <c r="E162" i="96" s="1"/>
  <c r="B156" i="96"/>
  <c r="D155" i="96"/>
  <c r="D124" i="96"/>
  <c r="D93" i="96"/>
  <c r="D62" i="96"/>
  <c r="D31" i="96"/>
  <c r="D390" i="34"/>
  <c r="D389" i="34"/>
  <c r="F387" i="34"/>
  <c r="F386" i="34"/>
  <c r="D386" i="34"/>
  <c r="F385" i="34"/>
  <c r="D383" i="34"/>
  <c r="D382" i="34"/>
  <c r="D381" i="34"/>
  <c r="D378" i="34"/>
  <c r="D379" i="34" s="1"/>
  <c r="F377" i="34"/>
  <c r="F375" i="34"/>
  <c r="D372" i="34"/>
  <c r="D373" i="34" s="1"/>
  <c r="D376" i="34" s="1"/>
  <c r="F370" i="34"/>
  <c r="F369" i="34"/>
  <c r="E366" i="34"/>
  <c r="E365" i="34"/>
  <c r="E364" i="34"/>
  <c r="E363" i="34"/>
  <c r="E362" i="34"/>
  <c r="E361" i="34"/>
  <c r="E359" i="34"/>
  <c r="E358" i="34"/>
  <c r="H355" i="34"/>
  <c r="G355" i="34"/>
  <c r="F355" i="34"/>
  <c r="D374" i="34" s="1"/>
  <c r="E355" i="34"/>
  <c r="D355" i="34"/>
  <c r="C355" i="34"/>
  <c r="B355" i="34"/>
  <c r="D360" i="34" s="1"/>
  <c r="E360" i="34" s="1"/>
  <c r="B352" i="34"/>
  <c r="D351" i="34"/>
  <c r="D350" i="34"/>
  <c r="F348" i="34"/>
  <c r="F347" i="34"/>
  <c r="D347" i="34"/>
  <c r="F346" i="34"/>
  <c r="D344" i="34"/>
  <c r="D342" i="34"/>
  <c r="D343" i="34" s="1"/>
  <c r="D339" i="34"/>
  <c r="D340" i="34" s="1"/>
  <c r="F338" i="34"/>
  <c r="F336" i="34"/>
  <c r="D333" i="34"/>
  <c r="D334" i="34" s="1"/>
  <c r="D337" i="34" s="1"/>
  <c r="F331" i="34"/>
  <c r="F330" i="34"/>
  <c r="E327" i="34"/>
  <c r="E326" i="34"/>
  <c r="E325" i="34"/>
  <c r="E324" i="34"/>
  <c r="E323" i="34"/>
  <c r="E322" i="34"/>
  <c r="E320" i="34"/>
  <c r="E319" i="34"/>
  <c r="H316" i="34"/>
  <c r="G316" i="34"/>
  <c r="F316" i="34"/>
  <c r="F337" i="34" s="1"/>
  <c r="E316" i="34"/>
  <c r="D316" i="34"/>
  <c r="C316" i="34"/>
  <c r="B316" i="34"/>
  <c r="D321" i="34" s="1"/>
  <c r="E321" i="34" s="1"/>
  <c r="B313" i="34"/>
  <c r="D312" i="34"/>
  <c r="D311" i="34"/>
  <c r="F309" i="34"/>
  <c r="F308" i="34"/>
  <c r="D308" i="34"/>
  <c r="F307" i="34"/>
  <c r="D305" i="34"/>
  <c r="D303" i="34"/>
  <c r="D304" i="34" s="1"/>
  <c r="D301" i="34"/>
  <c r="D300" i="34"/>
  <c r="F299" i="34"/>
  <c r="F297" i="34"/>
  <c r="D294" i="34"/>
  <c r="D295" i="34" s="1"/>
  <c r="D298" i="34" s="1"/>
  <c r="F292" i="34"/>
  <c r="F291" i="34"/>
  <c r="E288" i="34"/>
  <c r="E287" i="34"/>
  <c r="E286" i="34"/>
  <c r="E285" i="34"/>
  <c r="E284" i="34"/>
  <c r="E283" i="34"/>
  <c r="E281" i="34"/>
  <c r="E280" i="34"/>
  <c r="H277" i="34"/>
  <c r="G277" i="34"/>
  <c r="F277" i="34"/>
  <c r="D296" i="34" s="1"/>
  <c r="E277" i="34"/>
  <c r="D277" i="34"/>
  <c r="C277" i="34"/>
  <c r="B277" i="34"/>
  <c r="D282" i="34" s="1"/>
  <c r="E282" i="34" s="1"/>
  <c r="B274" i="34"/>
  <c r="D273" i="34"/>
  <c r="D272" i="34"/>
  <c r="F270" i="34"/>
  <c r="F269" i="34"/>
  <c r="D269" i="34"/>
  <c r="F268" i="34"/>
  <c r="D266" i="34"/>
  <c r="D264" i="34"/>
  <c r="D265" i="34" s="1"/>
  <c r="D261" i="34"/>
  <c r="D262" i="34" s="1"/>
  <c r="F260" i="34"/>
  <c r="F258" i="34"/>
  <c r="D255" i="34"/>
  <c r="D256" i="34" s="1"/>
  <c r="D259" i="34" s="1"/>
  <c r="F253" i="34"/>
  <c r="F252" i="34"/>
  <c r="E249" i="34"/>
  <c r="E248" i="34"/>
  <c r="E247" i="34"/>
  <c r="E246" i="34"/>
  <c r="E245" i="34"/>
  <c r="E244" i="34"/>
  <c r="E242" i="34"/>
  <c r="E241" i="34"/>
  <c r="H238" i="34"/>
  <c r="G238" i="34"/>
  <c r="F238" i="34"/>
  <c r="F259" i="34" s="1"/>
  <c r="E238" i="34"/>
  <c r="D238" i="34"/>
  <c r="C238" i="34"/>
  <c r="B238" i="34"/>
  <c r="D243" i="34" s="1"/>
  <c r="E243" i="34" s="1"/>
  <c r="B235" i="34"/>
  <c r="D234" i="34"/>
  <c r="D233" i="34"/>
  <c r="F231" i="34"/>
  <c r="F230" i="34"/>
  <c r="D230" i="34"/>
  <c r="F229" i="34"/>
  <c r="D227" i="34"/>
  <c r="D226" i="34"/>
  <c r="D225" i="34"/>
  <c r="D222" i="34"/>
  <c r="D223" i="34" s="1"/>
  <c r="F221" i="34"/>
  <c r="F219" i="34"/>
  <c r="D216" i="34"/>
  <c r="D217" i="34" s="1"/>
  <c r="D220" i="34" s="1"/>
  <c r="F214" i="34"/>
  <c r="F213" i="34"/>
  <c r="E210" i="34"/>
  <c r="E209" i="34"/>
  <c r="E208" i="34"/>
  <c r="E207" i="34"/>
  <c r="E206" i="34"/>
  <c r="E205" i="34"/>
  <c r="E203" i="34"/>
  <c r="E202" i="34"/>
  <c r="H199" i="34"/>
  <c r="G199" i="34"/>
  <c r="F199" i="34"/>
  <c r="F220" i="34" s="1"/>
  <c r="E199" i="34"/>
  <c r="D199" i="34"/>
  <c r="C199" i="34"/>
  <c r="B199" i="34"/>
  <c r="D204" i="34" s="1"/>
  <c r="E204" i="34" s="1"/>
  <c r="B196" i="34"/>
  <c r="D195" i="34"/>
  <c r="D194" i="34"/>
  <c r="D156" i="34"/>
  <c r="D155" i="34"/>
  <c r="D117" i="34"/>
  <c r="D116" i="34"/>
  <c r="D78" i="34"/>
  <c r="D77" i="34"/>
  <c r="D39" i="34"/>
  <c r="D38" i="34"/>
  <c r="C280" i="86"/>
  <c r="C279" i="86"/>
  <c r="D276" i="86"/>
  <c r="F277" i="86" s="1"/>
  <c r="E271" i="86"/>
  <c r="E270" i="86"/>
  <c r="E269" i="86"/>
  <c r="E268" i="86"/>
  <c r="E267" i="86"/>
  <c r="E266" i="86"/>
  <c r="E265" i="86"/>
  <c r="E264" i="86"/>
  <c r="E263" i="86"/>
  <c r="E262" i="86"/>
  <c r="E261" i="86"/>
  <c r="E260" i="86"/>
  <c r="E259" i="86"/>
  <c r="H256" i="86"/>
  <c r="G256" i="86"/>
  <c r="F256" i="86"/>
  <c r="E256" i="86"/>
  <c r="D256" i="86"/>
  <c r="C256" i="86"/>
  <c r="B256" i="86"/>
  <c r="B253" i="86"/>
  <c r="C252" i="86"/>
  <c r="C251" i="86"/>
  <c r="D248" i="86"/>
  <c r="F249" i="86" s="1"/>
  <c r="E243" i="86"/>
  <c r="E242" i="86"/>
  <c r="E241" i="86"/>
  <c r="E240" i="86"/>
  <c r="E239" i="86"/>
  <c r="E238" i="86"/>
  <c r="E237" i="86"/>
  <c r="E236" i="86"/>
  <c r="E235" i="86"/>
  <c r="E234" i="86"/>
  <c r="E233" i="86"/>
  <c r="E232" i="86"/>
  <c r="E231" i="86"/>
  <c r="H228" i="86"/>
  <c r="G228" i="86"/>
  <c r="F228" i="86"/>
  <c r="E228" i="86"/>
  <c r="D228" i="86"/>
  <c r="C228" i="86"/>
  <c r="B228" i="86"/>
  <c r="B225" i="86"/>
  <c r="C224" i="86"/>
  <c r="C223" i="86"/>
  <c r="D220" i="86"/>
  <c r="F221" i="86" s="1"/>
  <c r="E215" i="86"/>
  <c r="E214" i="86"/>
  <c r="E213" i="86"/>
  <c r="E212" i="86"/>
  <c r="E211" i="86"/>
  <c r="E210" i="86"/>
  <c r="E209" i="86"/>
  <c r="E208" i="86"/>
  <c r="E207" i="86"/>
  <c r="E206" i="86"/>
  <c r="E205" i="86"/>
  <c r="E204" i="86"/>
  <c r="E203" i="86"/>
  <c r="H200" i="86"/>
  <c r="G200" i="86"/>
  <c r="F200" i="86"/>
  <c r="E200" i="86"/>
  <c r="D200" i="86"/>
  <c r="C200" i="86"/>
  <c r="B200" i="86"/>
  <c r="B197" i="86"/>
  <c r="C196" i="86"/>
  <c r="C195" i="86"/>
  <c r="D192" i="86"/>
  <c r="F193" i="86" s="1"/>
  <c r="E187" i="86"/>
  <c r="E186" i="86"/>
  <c r="E185" i="86"/>
  <c r="E184" i="86"/>
  <c r="E183" i="86"/>
  <c r="E182" i="86"/>
  <c r="E181" i="86"/>
  <c r="E180" i="86"/>
  <c r="E179" i="86"/>
  <c r="E178" i="86"/>
  <c r="E177" i="86"/>
  <c r="E176" i="86"/>
  <c r="E175" i="86"/>
  <c r="H172" i="86"/>
  <c r="G172" i="86"/>
  <c r="F172" i="86"/>
  <c r="E172" i="86"/>
  <c r="D172" i="86"/>
  <c r="C172" i="86"/>
  <c r="B172" i="86"/>
  <c r="B169" i="86"/>
  <c r="C168" i="86"/>
  <c r="C167" i="86"/>
  <c r="D164" i="86"/>
  <c r="F165" i="86" s="1"/>
  <c r="E159" i="86"/>
  <c r="E158" i="86"/>
  <c r="E157" i="86"/>
  <c r="E156" i="86"/>
  <c r="E155" i="86"/>
  <c r="E154" i="86"/>
  <c r="E153" i="86"/>
  <c r="E152" i="86"/>
  <c r="E151" i="86"/>
  <c r="E150" i="86"/>
  <c r="E149" i="86"/>
  <c r="E148" i="86"/>
  <c r="E147" i="86"/>
  <c r="H144" i="86"/>
  <c r="G144" i="86"/>
  <c r="F144" i="86"/>
  <c r="E144" i="86"/>
  <c r="D144" i="86"/>
  <c r="C144" i="86"/>
  <c r="B144" i="86"/>
  <c r="B141" i="86"/>
  <c r="C140" i="86"/>
  <c r="C139" i="86"/>
  <c r="C112" i="86"/>
  <c r="C111" i="86"/>
  <c r="C84" i="86"/>
  <c r="C83" i="86"/>
  <c r="C56" i="86"/>
  <c r="C55" i="86"/>
  <c r="C28" i="86"/>
  <c r="C27" i="86"/>
  <c r="C280" i="85"/>
  <c r="C279" i="85"/>
  <c r="H277" i="85"/>
  <c r="E277" i="85"/>
  <c r="H276" i="85"/>
  <c r="H273" i="85"/>
  <c r="E270" i="85"/>
  <c r="E269" i="85"/>
  <c r="E268" i="85"/>
  <c r="E267" i="85"/>
  <c r="E266" i="85"/>
  <c r="E265" i="85"/>
  <c r="E264" i="85"/>
  <c r="E263" i="85"/>
  <c r="E262" i="85"/>
  <c r="E260" i="85"/>
  <c r="E259" i="85"/>
  <c r="E258" i="85"/>
  <c r="H256" i="85"/>
  <c r="G256" i="85"/>
  <c r="F256" i="85"/>
  <c r="E275" i="85" s="1"/>
  <c r="E256" i="85"/>
  <c r="D256" i="85"/>
  <c r="C256" i="85"/>
  <c r="B256" i="85"/>
  <c r="D261" i="85" s="1"/>
  <c r="E261" i="85" s="1"/>
  <c r="B253" i="85"/>
  <c r="C252" i="85"/>
  <c r="C251" i="85"/>
  <c r="E249" i="85"/>
  <c r="H249" i="85" s="1"/>
  <c r="H248" i="85"/>
  <c r="H245" i="85"/>
  <c r="E242" i="85"/>
  <c r="E241" i="85"/>
  <c r="E240" i="85"/>
  <c r="E239" i="85"/>
  <c r="E238" i="85"/>
  <c r="E237" i="85"/>
  <c r="E236" i="85"/>
  <c r="E235" i="85"/>
  <c r="E234" i="85"/>
  <c r="E232" i="85"/>
  <c r="E231" i="85"/>
  <c r="E230" i="85"/>
  <c r="H228" i="85"/>
  <c r="G228" i="85"/>
  <c r="F228" i="85"/>
  <c r="E247" i="85" s="1"/>
  <c r="E228" i="85"/>
  <c r="D228" i="85"/>
  <c r="C228" i="85"/>
  <c r="B228" i="85"/>
  <c r="D233" i="85" s="1"/>
  <c r="E233" i="85" s="1"/>
  <c r="B225" i="85"/>
  <c r="C224" i="85"/>
  <c r="C223" i="85"/>
  <c r="E221" i="85"/>
  <c r="H221" i="85" s="1"/>
  <c r="H220" i="85"/>
  <c r="H217" i="85"/>
  <c r="E214" i="85"/>
  <c r="E213" i="85"/>
  <c r="E212" i="85"/>
  <c r="E211" i="85"/>
  <c r="E210" i="85"/>
  <c r="E209" i="85"/>
  <c r="E208" i="85"/>
  <c r="E207" i="85"/>
  <c r="E206" i="85"/>
  <c r="E204" i="85"/>
  <c r="E203" i="85"/>
  <c r="E202" i="85"/>
  <c r="H200" i="85"/>
  <c r="G200" i="85"/>
  <c r="F200" i="85"/>
  <c r="E219" i="85" s="1"/>
  <c r="E200" i="85"/>
  <c r="D200" i="85"/>
  <c r="C200" i="85"/>
  <c r="B200" i="85"/>
  <c r="D205" i="85" s="1"/>
  <c r="E205" i="85" s="1"/>
  <c r="B197" i="85"/>
  <c r="C196" i="85"/>
  <c r="C195" i="85"/>
  <c r="E193" i="85"/>
  <c r="H193" i="85" s="1"/>
  <c r="H192" i="85"/>
  <c r="H189" i="85"/>
  <c r="E186" i="85"/>
  <c r="E185" i="85"/>
  <c r="E184" i="85"/>
  <c r="E183" i="85"/>
  <c r="E182" i="85"/>
  <c r="E181" i="85"/>
  <c r="E180" i="85"/>
  <c r="E179" i="85"/>
  <c r="E178" i="85"/>
  <c r="E176" i="85"/>
  <c r="E175" i="85"/>
  <c r="E174" i="85"/>
  <c r="H172" i="85"/>
  <c r="G172" i="85"/>
  <c r="F172" i="85"/>
  <c r="E191" i="85" s="1"/>
  <c r="E172" i="85"/>
  <c r="D172" i="85"/>
  <c r="C172" i="85"/>
  <c r="B172" i="85"/>
  <c r="D177" i="85" s="1"/>
  <c r="E177" i="85" s="1"/>
  <c r="B169" i="85"/>
  <c r="C168" i="85"/>
  <c r="C167" i="85"/>
  <c r="E165" i="85"/>
  <c r="H165" i="85" s="1"/>
  <c r="H164" i="85"/>
  <c r="H161" i="85"/>
  <c r="E158" i="85"/>
  <c r="E157" i="85"/>
  <c r="E156" i="85"/>
  <c r="E155" i="85"/>
  <c r="E154" i="85"/>
  <c r="E153" i="85"/>
  <c r="E152" i="85"/>
  <c r="E151" i="85"/>
  <c r="E150" i="85"/>
  <c r="E148" i="85"/>
  <c r="E147" i="85"/>
  <c r="E146" i="85"/>
  <c r="H144" i="85"/>
  <c r="G144" i="85"/>
  <c r="F144" i="85"/>
  <c r="E163" i="85" s="1"/>
  <c r="E144" i="85"/>
  <c r="D144" i="85"/>
  <c r="C144" i="85"/>
  <c r="B144" i="85"/>
  <c r="D149" i="85" s="1"/>
  <c r="E149" i="85" s="1"/>
  <c r="B141" i="85"/>
  <c r="C140" i="85"/>
  <c r="C139" i="85"/>
  <c r="C112" i="85"/>
  <c r="C111" i="85"/>
  <c r="C84" i="85"/>
  <c r="C83" i="85"/>
  <c r="C56" i="85"/>
  <c r="C55" i="85"/>
  <c r="C28" i="85"/>
  <c r="C27" i="85"/>
  <c r="C260" i="66"/>
  <c r="H258" i="66"/>
  <c r="H255" i="66"/>
  <c r="E252" i="66"/>
  <c r="E251" i="66"/>
  <c r="E250" i="66"/>
  <c r="E249" i="66"/>
  <c r="E248" i="66"/>
  <c r="E247" i="66"/>
  <c r="E246" i="66"/>
  <c r="E245" i="66"/>
  <c r="E244" i="66"/>
  <c r="E242" i="66"/>
  <c r="E241" i="66"/>
  <c r="E240" i="66"/>
  <c r="H238" i="66"/>
  <c r="G238" i="66"/>
  <c r="F238" i="66"/>
  <c r="E257" i="66" s="1"/>
  <c r="E238" i="66"/>
  <c r="D238" i="66"/>
  <c r="C238" i="66"/>
  <c r="B238" i="66"/>
  <c r="D243" i="66" s="1"/>
  <c r="E243" i="66" s="1"/>
  <c r="B235" i="66"/>
  <c r="C234" i="66"/>
  <c r="H232" i="66"/>
  <c r="H229" i="66"/>
  <c r="E226" i="66"/>
  <c r="E225" i="66"/>
  <c r="E224" i="66"/>
  <c r="E223" i="66"/>
  <c r="E222" i="66"/>
  <c r="E221" i="66"/>
  <c r="E220" i="66"/>
  <c r="E219" i="66"/>
  <c r="E218" i="66"/>
  <c r="E216" i="66"/>
  <c r="E215" i="66"/>
  <c r="E214" i="66"/>
  <c r="H212" i="66"/>
  <c r="G212" i="66"/>
  <c r="F212" i="66"/>
  <c r="E231" i="66" s="1"/>
  <c r="E212" i="66"/>
  <c r="D212" i="66"/>
  <c r="C212" i="66"/>
  <c r="B212" i="66"/>
  <c r="D217" i="66" s="1"/>
  <c r="E217" i="66" s="1"/>
  <c r="B209" i="66"/>
  <c r="C208" i="66"/>
  <c r="H206" i="66"/>
  <c r="H203" i="66"/>
  <c r="E200" i="66"/>
  <c r="E199" i="66"/>
  <c r="E198" i="66"/>
  <c r="E197" i="66"/>
  <c r="E196" i="66"/>
  <c r="E195" i="66"/>
  <c r="E194" i="66"/>
  <c r="E193" i="66"/>
  <c r="E192" i="66"/>
  <c r="E190" i="66"/>
  <c r="E189" i="66"/>
  <c r="E188" i="66"/>
  <c r="H186" i="66"/>
  <c r="G186" i="66"/>
  <c r="F186" i="66"/>
  <c r="E205" i="66" s="1"/>
  <c r="E186" i="66"/>
  <c r="D186" i="66"/>
  <c r="C186" i="66"/>
  <c r="B186" i="66"/>
  <c r="D191" i="66" s="1"/>
  <c r="E191" i="66" s="1"/>
  <c r="B183" i="66"/>
  <c r="C182" i="66"/>
  <c r="H180" i="66"/>
  <c r="H177" i="66"/>
  <c r="E174" i="66"/>
  <c r="E173" i="66"/>
  <c r="E172" i="66"/>
  <c r="E171" i="66"/>
  <c r="E170" i="66"/>
  <c r="E169" i="66"/>
  <c r="E168" i="66"/>
  <c r="E167" i="66"/>
  <c r="E166" i="66"/>
  <c r="E164" i="66"/>
  <c r="E163" i="66"/>
  <c r="E162" i="66"/>
  <c r="H160" i="66"/>
  <c r="G160" i="66"/>
  <c r="F160" i="66"/>
  <c r="E179" i="66" s="1"/>
  <c r="E160" i="66"/>
  <c r="D160" i="66"/>
  <c r="C160" i="66"/>
  <c r="B160" i="66"/>
  <c r="D165" i="66" s="1"/>
  <c r="E165" i="66" s="1"/>
  <c r="B157" i="66"/>
  <c r="C156" i="66"/>
  <c r="H154" i="66"/>
  <c r="H151" i="66"/>
  <c r="E148" i="66"/>
  <c r="E147" i="66"/>
  <c r="E146" i="66"/>
  <c r="E145" i="66"/>
  <c r="E144" i="66"/>
  <c r="E143" i="66"/>
  <c r="E142" i="66"/>
  <c r="E141" i="66"/>
  <c r="E140" i="66"/>
  <c r="E138" i="66"/>
  <c r="E137" i="66"/>
  <c r="E136" i="66"/>
  <c r="H134" i="66"/>
  <c r="G134" i="66"/>
  <c r="F134" i="66"/>
  <c r="E153" i="66" s="1"/>
  <c r="E134" i="66"/>
  <c r="D134" i="66"/>
  <c r="C134" i="66"/>
  <c r="B134" i="66"/>
  <c r="D139" i="66" s="1"/>
  <c r="E139" i="66" s="1"/>
  <c r="B131" i="66"/>
  <c r="C130" i="66"/>
  <c r="C104" i="66"/>
  <c r="C78" i="66"/>
  <c r="C52" i="66"/>
  <c r="C26" i="66"/>
  <c r="C240" i="87"/>
  <c r="D238" i="87"/>
  <c r="F238" i="87" s="1"/>
  <c r="F235" i="87"/>
  <c r="E229" i="87"/>
  <c r="E228" i="87"/>
  <c r="E227" i="87"/>
  <c r="E224" i="87"/>
  <c r="E223" i="87"/>
  <c r="E222" i="87"/>
  <c r="H220" i="87"/>
  <c r="G220" i="87"/>
  <c r="F220" i="87"/>
  <c r="D232" i="87" s="1"/>
  <c r="D234" i="87" s="1"/>
  <c r="E220" i="87"/>
  <c r="D220" i="87"/>
  <c r="C220" i="87"/>
  <c r="B220" i="87"/>
  <c r="D225" i="87" s="1"/>
  <c r="E225" i="87" s="1"/>
  <c r="B217" i="87"/>
  <c r="C216" i="87"/>
  <c r="D214" i="87"/>
  <c r="F214" i="87" s="1"/>
  <c r="F211" i="87"/>
  <c r="E205" i="87"/>
  <c r="E204" i="87"/>
  <c r="E203" i="87"/>
  <c r="E200" i="87"/>
  <c r="E199" i="87"/>
  <c r="E198" i="87"/>
  <c r="H196" i="87"/>
  <c r="G196" i="87"/>
  <c r="F196" i="87"/>
  <c r="D208" i="87" s="1"/>
  <c r="D210" i="87" s="1"/>
  <c r="E196" i="87"/>
  <c r="D196" i="87"/>
  <c r="C196" i="87"/>
  <c r="B196" i="87"/>
  <c r="D201" i="87" s="1"/>
  <c r="E201" i="87" s="1"/>
  <c r="B193" i="87"/>
  <c r="C192" i="87"/>
  <c r="D190" i="87"/>
  <c r="F190" i="87" s="1"/>
  <c r="F187" i="87"/>
  <c r="E181" i="87"/>
  <c r="E180" i="87"/>
  <c r="E179" i="87"/>
  <c r="E176" i="87"/>
  <c r="E175" i="87"/>
  <c r="E174" i="87"/>
  <c r="H172" i="87"/>
  <c r="G172" i="87"/>
  <c r="F172" i="87"/>
  <c r="D184" i="87" s="1"/>
  <c r="D186" i="87" s="1"/>
  <c r="E172" i="87"/>
  <c r="D172" i="87"/>
  <c r="C172" i="87"/>
  <c r="B172" i="87"/>
  <c r="D177" i="87" s="1"/>
  <c r="E177" i="87" s="1"/>
  <c r="B169" i="87"/>
  <c r="C168" i="87"/>
  <c r="D166" i="87"/>
  <c r="F166" i="87" s="1"/>
  <c r="F163" i="87"/>
  <c r="E157" i="87"/>
  <c r="E156" i="87"/>
  <c r="E155" i="87"/>
  <c r="E152" i="87"/>
  <c r="E151" i="87"/>
  <c r="E150" i="87"/>
  <c r="H148" i="87"/>
  <c r="G148" i="87"/>
  <c r="F148" i="87"/>
  <c r="D160" i="87" s="1"/>
  <c r="D162" i="87" s="1"/>
  <c r="E148" i="87"/>
  <c r="D148" i="87"/>
  <c r="C148" i="87"/>
  <c r="B148" i="87"/>
  <c r="D153" i="87" s="1"/>
  <c r="E153" i="87" s="1"/>
  <c r="B145" i="87"/>
  <c r="C144" i="87"/>
  <c r="D142" i="87"/>
  <c r="F142" i="87" s="1"/>
  <c r="F139" i="87"/>
  <c r="E133" i="87"/>
  <c r="E132" i="87"/>
  <c r="E131" i="87"/>
  <c r="D129" i="87"/>
  <c r="E129" i="87" s="1"/>
  <c r="E128" i="87"/>
  <c r="E127" i="87"/>
  <c r="E126" i="87"/>
  <c r="H124" i="87"/>
  <c r="G124" i="87"/>
  <c r="F124" i="87"/>
  <c r="D136" i="87" s="1"/>
  <c r="D138" i="87" s="1"/>
  <c r="E124" i="87"/>
  <c r="D124" i="87"/>
  <c r="C124" i="87"/>
  <c r="B124" i="87"/>
  <c r="B121" i="87"/>
  <c r="C120" i="87"/>
  <c r="C96" i="87"/>
  <c r="C72" i="87"/>
  <c r="C48" i="87"/>
  <c r="C24" i="87"/>
  <c r="C270" i="84"/>
  <c r="D265" i="84"/>
  <c r="D263" i="84"/>
  <c r="D266" i="84" s="1"/>
  <c r="D268" i="84" s="1"/>
  <c r="F268" i="84" s="1"/>
  <c r="E258" i="84"/>
  <c r="E257" i="84"/>
  <c r="E256" i="84"/>
  <c r="E255" i="84"/>
  <c r="E254" i="84"/>
  <c r="D252" i="84"/>
  <c r="E252" i="84" s="1"/>
  <c r="E251" i="84"/>
  <c r="E250" i="84"/>
  <c r="E249" i="84"/>
  <c r="H247" i="84"/>
  <c r="G247" i="84"/>
  <c r="F247" i="84"/>
  <c r="E247" i="84"/>
  <c r="D247" i="84"/>
  <c r="C247" i="84"/>
  <c r="B247" i="84"/>
  <c r="B244" i="84"/>
  <c r="C243" i="84"/>
  <c r="D241" i="84"/>
  <c r="F241" i="84" s="1"/>
  <c r="D239" i="84"/>
  <c r="D238" i="84"/>
  <c r="D236" i="84"/>
  <c r="E231" i="84"/>
  <c r="E230" i="84"/>
  <c r="E229" i="84"/>
  <c r="E228" i="84"/>
  <c r="E227" i="84"/>
  <c r="E224" i="84"/>
  <c r="E223" i="84"/>
  <c r="E222" i="84"/>
  <c r="H220" i="84"/>
  <c r="G220" i="84"/>
  <c r="F220" i="84"/>
  <c r="E220" i="84"/>
  <c r="D220" i="84"/>
  <c r="C220" i="84"/>
  <c r="B220" i="84"/>
  <c r="D225" i="84" s="1"/>
  <c r="E225" i="84" s="1"/>
  <c r="B217" i="84"/>
  <c r="C216" i="84"/>
  <c r="D211" i="84"/>
  <c r="D212" i="84" s="1"/>
  <c r="D214" i="84" s="1"/>
  <c r="F214" i="84" s="1"/>
  <c r="D209" i="84"/>
  <c r="E204" i="84"/>
  <c r="E203" i="84"/>
  <c r="E202" i="84"/>
  <c r="E201" i="84"/>
  <c r="E200" i="84"/>
  <c r="E197" i="84"/>
  <c r="E196" i="84"/>
  <c r="E195" i="84"/>
  <c r="H193" i="84"/>
  <c r="G193" i="84"/>
  <c r="F193" i="84"/>
  <c r="E193" i="84"/>
  <c r="D193" i="84"/>
  <c r="C193" i="84"/>
  <c r="B193" i="84"/>
  <c r="D198" i="84" s="1"/>
  <c r="E198" i="84" s="1"/>
  <c r="B190" i="84"/>
  <c r="C189" i="84"/>
  <c r="D184" i="84"/>
  <c r="D182" i="84"/>
  <c r="D185" i="84" s="1"/>
  <c r="D187" i="84" s="1"/>
  <c r="F187" i="84" s="1"/>
  <c r="E177" i="84"/>
  <c r="E176" i="84"/>
  <c r="E175" i="84"/>
  <c r="E174" i="84"/>
  <c r="E173" i="84"/>
  <c r="E170" i="84"/>
  <c r="E169" i="84"/>
  <c r="E168" i="84"/>
  <c r="H166" i="84"/>
  <c r="G166" i="84"/>
  <c r="F166" i="84"/>
  <c r="E166" i="84"/>
  <c r="D166" i="84"/>
  <c r="C166" i="84"/>
  <c r="B166" i="84"/>
  <c r="D171" i="84" s="1"/>
  <c r="E171" i="84" s="1"/>
  <c r="B163" i="84"/>
  <c r="C162" i="84"/>
  <c r="D157" i="84"/>
  <c r="D155" i="84"/>
  <c r="D158" i="84" s="1"/>
  <c r="D160" i="84" s="1"/>
  <c r="F160" i="84" s="1"/>
  <c r="E150" i="84"/>
  <c r="E149" i="84"/>
  <c r="E148" i="84"/>
  <c r="E147" i="84"/>
  <c r="E146" i="84"/>
  <c r="E143" i="84"/>
  <c r="E142" i="84"/>
  <c r="E141" i="84"/>
  <c r="H139" i="84"/>
  <c r="G139" i="84"/>
  <c r="F139" i="84"/>
  <c r="E139" i="84"/>
  <c r="D139" i="84"/>
  <c r="C139" i="84"/>
  <c r="B139" i="84"/>
  <c r="D144" i="84" s="1"/>
  <c r="E144" i="84" s="1"/>
  <c r="B136" i="84"/>
  <c r="C135" i="84"/>
  <c r="C108" i="84"/>
  <c r="C81" i="84"/>
  <c r="C54" i="84"/>
  <c r="C27" i="84"/>
  <c r="C270" i="83"/>
  <c r="F268" i="83"/>
  <c r="D266" i="83"/>
  <c r="F266" i="83" s="1"/>
  <c r="E262" i="83"/>
  <c r="E261" i="83"/>
  <c r="E260" i="83"/>
  <c r="E259" i="83"/>
  <c r="E258" i="83"/>
  <c r="E257" i="83"/>
  <c r="E256" i="83"/>
  <c r="E255" i="83"/>
  <c r="D252" i="83"/>
  <c r="E251" i="83"/>
  <c r="E250" i="83"/>
  <c r="E249" i="83"/>
  <c r="H247" i="83"/>
  <c r="G247" i="83"/>
  <c r="F247" i="83"/>
  <c r="D265" i="83" s="1"/>
  <c r="D267" i="83" s="1"/>
  <c r="E247" i="83"/>
  <c r="D247" i="83"/>
  <c r="C247" i="83"/>
  <c r="B247" i="83"/>
  <c r="D253" i="83" s="1"/>
  <c r="E253" i="83" s="1"/>
  <c r="B244" i="83"/>
  <c r="C243" i="83"/>
  <c r="F241" i="83"/>
  <c r="D239" i="83"/>
  <c r="F239" i="83" s="1"/>
  <c r="E235" i="83"/>
  <c r="E234" i="83"/>
  <c r="E233" i="83"/>
  <c r="E232" i="83"/>
  <c r="E231" i="83"/>
  <c r="E230" i="83"/>
  <c r="E229" i="83"/>
  <c r="E228" i="83"/>
  <c r="D225" i="83"/>
  <c r="E224" i="83"/>
  <c r="E223" i="83"/>
  <c r="E222" i="83"/>
  <c r="H220" i="83"/>
  <c r="G220" i="83"/>
  <c r="F220" i="83"/>
  <c r="D238" i="83" s="1"/>
  <c r="D240" i="83" s="1"/>
  <c r="E220" i="83"/>
  <c r="D220" i="83"/>
  <c r="C220" i="83"/>
  <c r="B220" i="83"/>
  <c r="D226" i="83" s="1"/>
  <c r="E226" i="83" s="1"/>
  <c r="B217" i="83"/>
  <c r="C216" i="83"/>
  <c r="F214" i="83"/>
  <c r="D212" i="83"/>
  <c r="F212" i="83" s="1"/>
  <c r="E208" i="83"/>
  <c r="E207" i="83"/>
  <c r="E206" i="83"/>
  <c r="E205" i="83"/>
  <c r="E204" i="83"/>
  <c r="E203" i="83"/>
  <c r="E202" i="83"/>
  <c r="E201" i="83"/>
  <c r="D198" i="83"/>
  <c r="E197" i="83"/>
  <c r="E196" i="83"/>
  <c r="E195" i="83"/>
  <c r="H193" i="83"/>
  <c r="G193" i="83"/>
  <c r="F193" i="83"/>
  <c r="D211" i="83" s="1"/>
  <c r="D213" i="83" s="1"/>
  <c r="E193" i="83"/>
  <c r="D193" i="83"/>
  <c r="C193" i="83"/>
  <c r="B193" i="83"/>
  <c r="D199" i="83" s="1"/>
  <c r="E199" i="83" s="1"/>
  <c r="B190" i="83"/>
  <c r="C189" i="83"/>
  <c r="F187" i="83"/>
  <c r="D185" i="83"/>
  <c r="F185" i="83" s="1"/>
  <c r="E181" i="83"/>
  <c r="E180" i="83"/>
  <c r="E179" i="83"/>
  <c r="E178" i="83"/>
  <c r="E177" i="83"/>
  <c r="E176" i="83"/>
  <c r="E175" i="83"/>
  <c r="E174" i="83"/>
  <c r="D171" i="83"/>
  <c r="E170" i="83"/>
  <c r="E169" i="83"/>
  <c r="E168" i="83"/>
  <c r="H166" i="83"/>
  <c r="G166" i="83"/>
  <c r="F166" i="83"/>
  <c r="D184" i="83" s="1"/>
  <c r="D186" i="83" s="1"/>
  <c r="E166" i="83"/>
  <c r="D166" i="83"/>
  <c r="C166" i="83"/>
  <c r="B166" i="83"/>
  <c r="D172" i="83" s="1"/>
  <c r="E172" i="83" s="1"/>
  <c r="B163" i="83"/>
  <c r="C162" i="83"/>
  <c r="F160" i="83"/>
  <c r="D158" i="83"/>
  <c r="F158" i="83" s="1"/>
  <c r="E154" i="83"/>
  <c r="E153" i="83"/>
  <c r="E152" i="83"/>
  <c r="E151" i="83"/>
  <c r="E150" i="83"/>
  <c r="E149" i="83"/>
  <c r="E148" i="83"/>
  <c r="E147" i="83"/>
  <c r="D144" i="83"/>
  <c r="E143" i="83"/>
  <c r="E142" i="83"/>
  <c r="E141" i="83"/>
  <c r="H139" i="83"/>
  <c r="G139" i="83"/>
  <c r="F139" i="83"/>
  <c r="D157" i="83" s="1"/>
  <c r="D159" i="83" s="1"/>
  <c r="E139" i="83"/>
  <c r="D139" i="83"/>
  <c r="C139" i="83"/>
  <c r="B139" i="83"/>
  <c r="D145" i="83" s="1"/>
  <c r="E145" i="83" s="1"/>
  <c r="B136" i="83"/>
  <c r="C135" i="83"/>
  <c r="C108" i="83"/>
  <c r="C81" i="83"/>
  <c r="C54" i="83"/>
  <c r="C27" i="83"/>
  <c r="C260" i="59"/>
  <c r="F258" i="59"/>
  <c r="D256" i="59"/>
  <c r="F256" i="59" s="1"/>
  <c r="E251" i="59"/>
  <c r="E250" i="59"/>
  <c r="E249" i="59"/>
  <c r="E248" i="59"/>
  <c r="E247" i="59"/>
  <c r="E246" i="59"/>
  <c r="E245" i="59"/>
  <c r="E242" i="59"/>
  <c r="E241" i="59"/>
  <c r="E240" i="59"/>
  <c r="H238" i="59"/>
  <c r="G238" i="59"/>
  <c r="F238" i="59"/>
  <c r="D254" i="59" s="1"/>
  <c r="D257" i="59" s="1"/>
  <c r="E238" i="59"/>
  <c r="D238" i="59"/>
  <c r="C238" i="59"/>
  <c r="B238" i="59"/>
  <c r="D243" i="59" s="1"/>
  <c r="E243" i="59" s="1"/>
  <c r="B235" i="59"/>
  <c r="C234" i="59"/>
  <c r="F232" i="59"/>
  <c r="F230" i="59"/>
  <c r="D230" i="59"/>
  <c r="E225" i="59"/>
  <c r="E224" i="59"/>
  <c r="E223" i="59"/>
  <c r="E222" i="59"/>
  <c r="E221" i="59"/>
  <c r="E220" i="59"/>
  <c r="E219" i="59"/>
  <c r="E216" i="59"/>
  <c r="E215" i="59"/>
  <c r="E214" i="59"/>
  <c r="H212" i="59"/>
  <c r="G212" i="59"/>
  <c r="F212" i="59"/>
  <c r="D228" i="59" s="1"/>
  <c r="D231" i="59" s="1"/>
  <c r="E212" i="59"/>
  <c r="D212" i="59"/>
  <c r="C212" i="59"/>
  <c r="B212" i="59"/>
  <c r="D217" i="59" s="1"/>
  <c r="E217" i="59" s="1"/>
  <c r="B209" i="59"/>
  <c r="C208" i="59"/>
  <c r="F206" i="59"/>
  <c r="F204" i="59"/>
  <c r="D204" i="59"/>
  <c r="E199" i="59"/>
  <c r="E198" i="59"/>
  <c r="E197" i="59"/>
  <c r="E196" i="59"/>
  <c r="E195" i="59"/>
  <c r="E194" i="59"/>
  <c r="E193" i="59"/>
  <c r="E190" i="59"/>
  <c r="E189" i="59"/>
  <c r="E188" i="59"/>
  <c r="H186" i="59"/>
  <c r="G186" i="59"/>
  <c r="F186" i="59"/>
  <c r="D202" i="59" s="1"/>
  <c r="D205" i="59" s="1"/>
  <c r="E186" i="59"/>
  <c r="D186" i="59"/>
  <c r="C186" i="59"/>
  <c r="B186" i="59"/>
  <c r="D191" i="59" s="1"/>
  <c r="E191" i="59" s="1"/>
  <c r="B183" i="59"/>
  <c r="C182" i="59"/>
  <c r="F180" i="59"/>
  <c r="D178" i="59"/>
  <c r="F178" i="59" s="1"/>
  <c r="E173" i="59"/>
  <c r="E172" i="59"/>
  <c r="E171" i="59"/>
  <c r="E170" i="59"/>
  <c r="E169" i="59"/>
  <c r="E168" i="59"/>
  <c r="E167" i="59"/>
  <c r="E164" i="59"/>
  <c r="E163" i="59"/>
  <c r="E162" i="59"/>
  <c r="H160" i="59"/>
  <c r="G160" i="59"/>
  <c r="F160" i="59"/>
  <c r="D176" i="59" s="1"/>
  <c r="D179" i="59" s="1"/>
  <c r="E160" i="59"/>
  <c r="D160" i="59"/>
  <c r="C160" i="59"/>
  <c r="B160" i="59"/>
  <c r="D165" i="59" s="1"/>
  <c r="E165" i="59" s="1"/>
  <c r="B157" i="59"/>
  <c r="C156" i="59"/>
  <c r="F154" i="59"/>
  <c r="D152" i="59"/>
  <c r="F152" i="59" s="1"/>
  <c r="E147" i="59"/>
  <c r="E146" i="59"/>
  <c r="E145" i="59"/>
  <c r="E144" i="59"/>
  <c r="E143" i="59"/>
  <c r="E142" i="59"/>
  <c r="E141" i="59"/>
  <c r="E138" i="59"/>
  <c r="E137" i="59"/>
  <c r="E136" i="59"/>
  <c r="H134" i="59"/>
  <c r="G134" i="59"/>
  <c r="F134" i="59"/>
  <c r="D150" i="59" s="1"/>
  <c r="D153" i="59" s="1"/>
  <c r="E134" i="59"/>
  <c r="D134" i="59"/>
  <c r="C134" i="59"/>
  <c r="B134" i="59"/>
  <c r="D139" i="59" s="1"/>
  <c r="E139" i="59" s="1"/>
  <c r="B131" i="59"/>
  <c r="C130" i="59"/>
  <c r="C104" i="59"/>
  <c r="C78" i="59"/>
  <c r="C52" i="59"/>
  <c r="C26" i="59"/>
  <c r="F358" i="94"/>
  <c r="F357" i="94"/>
  <c r="F356" i="94"/>
  <c r="E353" i="94"/>
  <c r="E352" i="94"/>
  <c r="E351" i="94"/>
  <c r="E350" i="94"/>
  <c r="E349" i="94"/>
  <c r="E348" i="94"/>
  <c r="E347" i="94"/>
  <c r="E346" i="94"/>
  <c r="E345" i="94"/>
  <c r="E344" i="94"/>
  <c r="E343" i="94"/>
  <c r="E342" i="94"/>
  <c r="E341" i="94"/>
  <c r="E340" i="94"/>
  <c r="E339" i="94"/>
  <c r="H337" i="94"/>
  <c r="E336" i="94"/>
  <c r="E335" i="94"/>
  <c r="E334" i="94"/>
  <c r="E333" i="94"/>
  <c r="E332" i="94"/>
  <c r="E331" i="94"/>
  <c r="E330" i="94"/>
  <c r="H328" i="94"/>
  <c r="G328" i="94"/>
  <c r="F328" i="94"/>
  <c r="D360" i="94" s="1"/>
  <c r="E328" i="94"/>
  <c r="D328" i="94"/>
  <c r="C328" i="94"/>
  <c r="B328" i="94"/>
  <c r="D338" i="94" s="1"/>
  <c r="E338" i="94" s="1"/>
  <c r="B325" i="94"/>
  <c r="F322" i="94"/>
  <c r="F321" i="94"/>
  <c r="F320" i="94"/>
  <c r="E317" i="94"/>
  <c r="E316" i="94"/>
  <c r="E315" i="94"/>
  <c r="E314" i="94"/>
  <c r="E313" i="94"/>
  <c r="E312" i="94"/>
  <c r="E311" i="94"/>
  <c r="E310" i="94"/>
  <c r="E309" i="94"/>
  <c r="E308" i="94"/>
  <c r="E307" i="94"/>
  <c r="E306" i="94"/>
  <c r="E305" i="94"/>
  <c r="E304" i="94"/>
  <c r="E303" i="94"/>
  <c r="H301" i="94"/>
  <c r="E300" i="94"/>
  <c r="E299" i="94"/>
  <c r="E298" i="94"/>
  <c r="E297" i="94"/>
  <c r="E296" i="94"/>
  <c r="E295" i="94"/>
  <c r="E294" i="94"/>
  <c r="H292" i="94"/>
  <c r="G292" i="94"/>
  <c r="F292" i="94"/>
  <c r="D324" i="94" s="1"/>
  <c r="E292" i="94"/>
  <c r="D292" i="94"/>
  <c r="C292" i="94"/>
  <c r="B292" i="94"/>
  <c r="D302" i="94" s="1"/>
  <c r="E302" i="94" s="1"/>
  <c r="B289" i="94"/>
  <c r="F286" i="94"/>
  <c r="F285" i="94"/>
  <c r="F284" i="94"/>
  <c r="E281" i="94"/>
  <c r="E280" i="94"/>
  <c r="E279" i="94"/>
  <c r="E278" i="94"/>
  <c r="E277" i="94"/>
  <c r="E276" i="94"/>
  <c r="E275" i="94"/>
  <c r="E274" i="94"/>
  <c r="E273" i="94"/>
  <c r="E272" i="94"/>
  <c r="E271" i="94"/>
  <c r="E270" i="94"/>
  <c r="E269" i="94"/>
  <c r="E268" i="94"/>
  <c r="E267" i="94"/>
  <c r="H265" i="94"/>
  <c r="E264" i="94"/>
  <c r="E263" i="94"/>
  <c r="E262" i="94"/>
  <c r="E261" i="94"/>
  <c r="E260" i="94"/>
  <c r="E259" i="94"/>
  <c r="E258" i="94"/>
  <c r="H256" i="94"/>
  <c r="G256" i="94"/>
  <c r="F256" i="94"/>
  <c r="D288" i="94" s="1"/>
  <c r="E256" i="94"/>
  <c r="D256" i="94"/>
  <c r="C256" i="94"/>
  <c r="B256" i="94"/>
  <c r="D266" i="94" s="1"/>
  <c r="E266" i="94" s="1"/>
  <c r="B253" i="94"/>
  <c r="F250" i="94"/>
  <c r="F249" i="94"/>
  <c r="F248" i="94"/>
  <c r="E245" i="94"/>
  <c r="E244" i="94"/>
  <c r="E243" i="94"/>
  <c r="E242" i="94"/>
  <c r="E241" i="94"/>
  <c r="E240" i="94"/>
  <c r="E239" i="94"/>
  <c r="E238" i="94"/>
  <c r="E237" i="94"/>
  <c r="E236" i="94"/>
  <c r="E235" i="94"/>
  <c r="E234" i="94"/>
  <c r="E233" i="94"/>
  <c r="E232" i="94"/>
  <c r="E231" i="94"/>
  <c r="H229" i="94"/>
  <c r="E228" i="94"/>
  <c r="E227" i="94"/>
  <c r="E226" i="94"/>
  <c r="E225" i="94"/>
  <c r="E224" i="94"/>
  <c r="E223" i="94"/>
  <c r="E222" i="94"/>
  <c r="H220" i="94"/>
  <c r="G220" i="94"/>
  <c r="F220" i="94"/>
  <c r="D252" i="94" s="1"/>
  <c r="E220" i="94"/>
  <c r="D220" i="94"/>
  <c r="C220" i="94"/>
  <c r="B220" i="94"/>
  <c r="D230" i="94" s="1"/>
  <c r="E230" i="94" s="1"/>
  <c r="B217" i="94"/>
  <c r="F214" i="94"/>
  <c r="F213" i="94"/>
  <c r="F212" i="94"/>
  <c r="E209" i="94"/>
  <c r="E208" i="94"/>
  <c r="E207" i="94"/>
  <c r="E206" i="94"/>
  <c r="E205" i="94"/>
  <c r="E204" i="94"/>
  <c r="E203" i="94"/>
  <c r="E202" i="94"/>
  <c r="E201" i="94"/>
  <c r="E200" i="94"/>
  <c r="E199" i="94"/>
  <c r="E198" i="94"/>
  <c r="E197" i="94"/>
  <c r="E196" i="94"/>
  <c r="E195" i="94"/>
  <c r="H193" i="94"/>
  <c r="E192" i="94"/>
  <c r="E191" i="94"/>
  <c r="E190" i="94"/>
  <c r="E189" i="94"/>
  <c r="E188" i="94"/>
  <c r="E187" i="94"/>
  <c r="E186" i="94"/>
  <c r="H184" i="94"/>
  <c r="G184" i="94"/>
  <c r="F184" i="94"/>
  <c r="D216" i="94" s="1"/>
  <c r="E184" i="94"/>
  <c r="D184" i="94"/>
  <c r="C184" i="94"/>
  <c r="B184" i="94"/>
  <c r="D194" i="94" s="1"/>
  <c r="E194" i="94" s="1"/>
  <c r="B181" i="94"/>
  <c r="E210" i="36"/>
  <c r="E209" i="36"/>
  <c r="G209" i="36" s="1"/>
  <c r="G205" i="36"/>
  <c r="E201" i="36"/>
  <c r="E200" i="36"/>
  <c r="E199" i="36"/>
  <c r="E198" i="36"/>
  <c r="E197" i="36"/>
  <c r="E196" i="36"/>
  <c r="H193" i="36"/>
  <c r="G193" i="36"/>
  <c r="F193" i="36"/>
  <c r="E193" i="36"/>
  <c r="D193" i="36"/>
  <c r="C193" i="36"/>
  <c r="B193" i="36"/>
  <c r="B190" i="36"/>
  <c r="E189" i="36"/>
  <c r="E188" i="36"/>
  <c r="G188" i="36" s="1"/>
  <c r="G184" i="36"/>
  <c r="E180" i="36"/>
  <c r="E179" i="36"/>
  <c r="E178" i="36"/>
  <c r="E177" i="36"/>
  <c r="E176" i="36"/>
  <c r="E175" i="36"/>
  <c r="H172" i="36"/>
  <c r="G172" i="36"/>
  <c r="F172" i="36"/>
  <c r="E172" i="36"/>
  <c r="D172" i="36"/>
  <c r="C172" i="36"/>
  <c r="B172" i="36"/>
  <c r="B169" i="36"/>
  <c r="E168" i="36"/>
  <c r="E167" i="36"/>
  <c r="G167" i="36" s="1"/>
  <c r="G163" i="36"/>
  <c r="E159" i="36"/>
  <c r="E158" i="36"/>
  <c r="E157" i="36"/>
  <c r="E156" i="36"/>
  <c r="E155" i="36"/>
  <c r="E154" i="36"/>
  <c r="H151" i="36"/>
  <c r="G151" i="36"/>
  <c r="F151" i="36"/>
  <c r="E151" i="36"/>
  <c r="D151" i="36"/>
  <c r="C151" i="36"/>
  <c r="B151" i="36"/>
  <c r="B148" i="36"/>
  <c r="E147" i="36"/>
  <c r="E146" i="36"/>
  <c r="G146" i="36" s="1"/>
  <c r="G142" i="36"/>
  <c r="E138" i="36"/>
  <c r="E137" i="36"/>
  <c r="E136" i="36"/>
  <c r="E135" i="36"/>
  <c r="E134" i="36"/>
  <c r="E133" i="36"/>
  <c r="H130" i="36"/>
  <c r="G130" i="36"/>
  <c r="F130" i="36"/>
  <c r="E130" i="36"/>
  <c r="D130" i="36"/>
  <c r="C130" i="36"/>
  <c r="B130" i="36"/>
  <c r="B127" i="36"/>
  <c r="E126" i="36"/>
  <c r="E125" i="36"/>
  <c r="G125" i="36" s="1"/>
  <c r="G121" i="36"/>
  <c r="E117" i="36"/>
  <c r="E116" i="36"/>
  <c r="E115" i="36"/>
  <c r="E114" i="36"/>
  <c r="E113" i="36"/>
  <c r="E112" i="36"/>
  <c r="H109" i="36"/>
  <c r="G109" i="36"/>
  <c r="F109" i="36"/>
  <c r="E109" i="36"/>
  <c r="D109" i="36"/>
  <c r="C109" i="36"/>
  <c r="B109" i="36"/>
  <c r="B106" i="36"/>
  <c r="E105" i="36"/>
  <c r="E84" i="36"/>
  <c r="E63" i="36"/>
  <c r="E42" i="36"/>
  <c r="E21" i="36"/>
  <c r="D310" i="38"/>
  <c r="F308" i="38"/>
  <c r="F307" i="38"/>
  <c r="F306" i="38"/>
  <c r="F305" i="38"/>
  <c r="F304" i="38"/>
  <c r="D304" i="38"/>
  <c r="D307" i="38" s="1"/>
  <c r="F303" i="38"/>
  <c r="E296" i="38"/>
  <c r="E295" i="38"/>
  <c r="E294" i="38"/>
  <c r="E293" i="38"/>
  <c r="E292" i="38"/>
  <c r="E291" i="38"/>
  <c r="E290" i="38"/>
  <c r="E289" i="38"/>
  <c r="E288" i="38"/>
  <c r="E287" i="38"/>
  <c r="E286" i="38"/>
  <c r="H283" i="38"/>
  <c r="G283" i="38"/>
  <c r="F283" i="38"/>
  <c r="D301" i="38" s="1"/>
  <c r="D302" i="38" s="1"/>
  <c r="E283" i="38"/>
  <c r="D283" i="38"/>
  <c r="C283" i="38"/>
  <c r="B283" i="38"/>
  <c r="B280" i="38"/>
  <c r="D279" i="38"/>
  <c r="F277" i="38"/>
  <c r="F276" i="38"/>
  <c r="D276" i="38"/>
  <c r="F275" i="38"/>
  <c r="F274" i="38"/>
  <c r="F273" i="38"/>
  <c r="D273" i="38"/>
  <c r="F272" i="38"/>
  <c r="E265" i="38"/>
  <c r="E264" i="38"/>
  <c r="E263" i="38"/>
  <c r="E262" i="38"/>
  <c r="E261" i="38"/>
  <c r="E260" i="38"/>
  <c r="E259" i="38"/>
  <c r="E258" i="38"/>
  <c r="E257" i="38"/>
  <c r="E256" i="38"/>
  <c r="E255" i="38"/>
  <c r="H252" i="38"/>
  <c r="G252" i="38"/>
  <c r="F252" i="38"/>
  <c r="D270" i="38" s="1"/>
  <c r="D271" i="38" s="1"/>
  <c r="E252" i="38"/>
  <c r="D252" i="38"/>
  <c r="C252" i="38"/>
  <c r="B252" i="38"/>
  <c r="B249" i="38"/>
  <c r="D248" i="38"/>
  <c r="F246" i="38"/>
  <c r="F245" i="38"/>
  <c r="F244" i="38"/>
  <c r="F243" i="38"/>
  <c r="F242" i="38"/>
  <c r="D242" i="38"/>
  <c r="D245" i="38" s="1"/>
  <c r="F241" i="38"/>
  <c r="E234" i="38"/>
  <c r="E233" i="38"/>
  <c r="E232" i="38"/>
  <c r="E231" i="38"/>
  <c r="E230" i="38"/>
  <c r="E229" i="38"/>
  <c r="E228" i="38"/>
  <c r="E227" i="38"/>
  <c r="E226" i="38"/>
  <c r="E225" i="38"/>
  <c r="E224" i="38"/>
  <c r="H221" i="38"/>
  <c r="G221" i="38"/>
  <c r="F221" i="38"/>
  <c r="D239" i="38" s="1"/>
  <c r="D240" i="38" s="1"/>
  <c r="E221" i="38"/>
  <c r="D221" i="38"/>
  <c r="C221" i="38"/>
  <c r="B221" i="38"/>
  <c r="B218" i="38"/>
  <c r="D217" i="38"/>
  <c r="F215" i="38"/>
  <c r="F214" i="38"/>
  <c r="D214" i="38"/>
  <c r="F213" i="38"/>
  <c r="F212" i="38"/>
  <c r="F211" i="38"/>
  <c r="D211" i="38"/>
  <c r="F210" i="38"/>
  <c r="E203" i="38"/>
  <c r="E202" i="38"/>
  <c r="E201" i="38"/>
  <c r="E200" i="38"/>
  <c r="E199" i="38"/>
  <c r="E198" i="38"/>
  <c r="E197" i="38"/>
  <c r="E196" i="38"/>
  <c r="E195" i="38"/>
  <c r="E194" i="38"/>
  <c r="E193" i="38"/>
  <c r="H190" i="38"/>
  <c r="G190" i="38"/>
  <c r="F190" i="38"/>
  <c r="D208" i="38" s="1"/>
  <c r="D209" i="38" s="1"/>
  <c r="E190" i="38"/>
  <c r="D190" i="38"/>
  <c r="C190" i="38"/>
  <c r="B190" i="38"/>
  <c r="B187" i="38"/>
  <c r="D186" i="38"/>
  <c r="F184" i="38"/>
  <c r="F183" i="38"/>
  <c r="F182" i="38"/>
  <c r="F181" i="38"/>
  <c r="F180" i="38"/>
  <c r="D180" i="38"/>
  <c r="D183" i="38" s="1"/>
  <c r="F179" i="38"/>
  <c r="E172" i="38"/>
  <c r="E171" i="38"/>
  <c r="E170" i="38"/>
  <c r="E169" i="38"/>
  <c r="E168" i="38"/>
  <c r="E167" i="38"/>
  <c r="E166" i="38"/>
  <c r="E165" i="38"/>
  <c r="E164" i="38"/>
  <c r="E163" i="38"/>
  <c r="E162" i="38"/>
  <c r="H159" i="38"/>
  <c r="G159" i="38"/>
  <c r="F159" i="38"/>
  <c r="D177" i="38" s="1"/>
  <c r="D178" i="38" s="1"/>
  <c r="E159" i="38"/>
  <c r="D159" i="38"/>
  <c r="C159" i="38"/>
  <c r="B159" i="38"/>
  <c r="B156" i="38"/>
  <c r="D155" i="38"/>
  <c r="D124" i="38"/>
  <c r="D93" i="38"/>
  <c r="D62" i="38"/>
  <c r="D31" i="38"/>
  <c r="D127" i="33"/>
  <c r="F127" i="33" s="1"/>
  <c r="H121" i="33"/>
  <c r="G121" i="33"/>
  <c r="F121" i="33"/>
  <c r="D124" i="33" s="1"/>
  <c r="E121" i="33"/>
  <c r="D121" i="33"/>
  <c r="C121" i="33"/>
  <c r="B121" i="33"/>
  <c r="D130" i="33" s="1"/>
  <c r="B118" i="33"/>
  <c r="F114" i="33"/>
  <c r="D114" i="33"/>
  <c r="H108" i="33"/>
  <c r="G108" i="33"/>
  <c r="F108" i="33"/>
  <c r="D111" i="33" s="1"/>
  <c r="E108" i="33"/>
  <c r="D108" i="33"/>
  <c r="C108" i="33"/>
  <c r="B108" i="33"/>
  <c r="D117" i="33" s="1"/>
  <c r="B105" i="33"/>
  <c r="D101" i="33"/>
  <c r="F101" i="33" s="1"/>
  <c r="H95" i="33"/>
  <c r="G95" i="33"/>
  <c r="F95" i="33"/>
  <c r="D98" i="33" s="1"/>
  <c r="E95" i="33"/>
  <c r="D95" i="33"/>
  <c r="C95" i="33"/>
  <c r="B95" i="33"/>
  <c r="D104" i="33" s="1"/>
  <c r="B92" i="33"/>
  <c r="D88" i="33"/>
  <c r="F88" i="33" s="1"/>
  <c r="H82" i="33"/>
  <c r="G82" i="33"/>
  <c r="F82" i="33"/>
  <c r="D85" i="33" s="1"/>
  <c r="E82" i="33"/>
  <c r="D82" i="33"/>
  <c r="C82" i="33"/>
  <c r="B82" i="33"/>
  <c r="D91" i="33" s="1"/>
  <c r="B79" i="33"/>
  <c r="D75" i="33"/>
  <c r="F75" i="33" s="1"/>
  <c r="H69" i="33"/>
  <c r="G69" i="33"/>
  <c r="F69" i="33"/>
  <c r="D72" i="33" s="1"/>
  <c r="E69" i="33"/>
  <c r="D69" i="33"/>
  <c r="C69" i="33"/>
  <c r="B69" i="33"/>
  <c r="D78" i="33" s="1"/>
  <c r="B66" i="33"/>
  <c r="C260" i="82"/>
  <c r="E258" i="82"/>
  <c r="H258" i="82" s="1"/>
  <c r="H257" i="82"/>
  <c r="H254" i="82"/>
  <c r="H252" i="82"/>
  <c r="E248" i="82"/>
  <c r="E247" i="82"/>
  <c r="E246" i="82"/>
  <c r="E245" i="82"/>
  <c r="E244" i="82"/>
  <c r="D243" i="82"/>
  <c r="E242" i="82"/>
  <c r="E241" i="82"/>
  <c r="H238" i="82"/>
  <c r="G238" i="82"/>
  <c r="F238" i="82"/>
  <c r="E251" i="82" s="1"/>
  <c r="E256" i="82" s="1"/>
  <c r="E238" i="82"/>
  <c r="D238" i="82"/>
  <c r="C238" i="82"/>
  <c r="B238" i="82"/>
  <c r="B235" i="82"/>
  <c r="C234" i="82"/>
  <c r="E232" i="82"/>
  <c r="H232" i="82" s="1"/>
  <c r="H231" i="82"/>
  <c r="H228" i="82"/>
  <c r="H226" i="82"/>
  <c r="E222" i="82"/>
  <c r="E221" i="82"/>
  <c r="E220" i="82"/>
  <c r="E219" i="82"/>
  <c r="E218" i="82"/>
  <c r="E216" i="82"/>
  <c r="E215" i="82"/>
  <c r="H212" i="82"/>
  <c r="G212" i="82"/>
  <c r="F212" i="82"/>
  <c r="E225" i="82" s="1"/>
  <c r="E230" i="82" s="1"/>
  <c r="E212" i="82"/>
  <c r="D212" i="82"/>
  <c r="C212" i="82"/>
  <c r="B212" i="82"/>
  <c r="D217" i="82" s="1"/>
  <c r="B209" i="82"/>
  <c r="C208" i="82"/>
  <c r="H206" i="82"/>
  <c r="E206" i="82"/>
  <c r="H205" i="82"/>
  <c r="H202" i="82"/>
  <c r="H200" i="82"/>
  <c r="E196" i="82"/>
  <c r="E195" i="82"/>
  <c r="E194" i="82"/>
  <c r="E193" i="82"/>
  <c r="E192" i="82"/>
  <c r="E190" i="82"/>
  <c r="E189" i="82"/>
  <c r="H186" i="82"/>
  <c r="G186" i="82"/>
  <c r="F186" i="82"/>
  <c r="E199" i="82" s="1"/>
  <c r="E204" i="82" s="1"/>
  <c r="E186" i="82"/>
  <c r="D186" i="82"/>
  <c r="C186" i="82"/>
  <c r="B186" i="82"/>
  <c r="D191" i="82" s="1"/>
  <c r="B183" i="82"/>
  <c r="C182" i="82"/>
  <c r="E180" i="82"/>
  <c r="H180" i="82" s="1"/>
  <c r="H179" i="82"/>
  <c r="H176" i="82"/>
  <c r="H174" i="82"/>
  <c r="E170" i="82"/>
  <c r="E169" i="82"/>
  <c r="E168" i="82"/>
  <c r="E167" i="82"/>
  <c r="E166" i="82"/>
  <c r="E164" i="82"/>
  <c r="E163" i="82"/>
  <c r="H160" i="82"/>
  <c r="G160" i="82"/>
  <c r="F160" i="82"/>
  <c r="E173" i="82" s="1"/>
  <c r="E178" i="82" s="1"/>
  <c r="E160" i="82"/>
  <c r="D160" i="82"/>
  <c r="C160" i="82"/>
  <c r="B160" i="82"/>
  <c r="D165" i="82" s="1"/>
  <c r="B157" i="82"/>
  <c r="C156" i="82"/>
  <c r="E154" i="82"/>
  <c r="H154" i="82" s="1"/>
  <c r="H153" i="82"/>
  <c r="H150" i="82"/>
  <c r="H148" i="82"/>
  <c r="E144" i="82"/>
  <c r="E143" i="82"/>
  <c r="E142" i="82"/>
  <c r="E141" i="82"/>
  <c r="E140" i="82"/>
  <c r="E138" i="82"/>
  <c r="E137" i="82"/>
  <c r="H134" i="82"/>
  <c r="G134" i="82"/>
  <c r="F134" i="82"/>
  <c r="E147" i="82" s="1"/>
  <c r="E152" i="82" s="1"/>
  <c r="E134" i="82"/>
  <c r="D134" i="82"/>
  <c r="C134" i="82"/>
  <c r="B134" i="82"/>
  <c r="D139" i="82" s="1"/>
  <c r="B131" i="82"/>
  <c r="C130" i="82"/>
  <c r="C104" i="82"/>
  <c r="C78" i="82"/>
  <c r="C52" i="82"/>
  <c r="C26" i="82"/>
  <c r="C280" i="76"/>
  <c r="E278" i="76"/>
  <c r="H277" i="76"/>
  <c r="H274" i="76"/>
  <c r="H272" i="76"/>
  <c r="E268" i="76"/>
  <c r="E267" i="76"/>
  <c r="E266" i="76"/>
  <c r="E265" i="76"/>
  <c r="E264" i="76"/>
  <c r="E263" i="76"/>
  <c r="E261" i="76"/>
  <c r="E260" i="76"/>
  <c r="E259" i="76"/>
  <c r="H256" i="76"/>
  <c r="G256" i="76"/>
  <c r="F256" i="76"/>
  <c r="E271" i="76" s="1"/>
  <c r="E276" i="76" s="1"/>
  <c r="E256" i="76"/>
  <c r="D256" i="76"/>
  <c r="C256" i="76"/>
  <c r="B256" i="76"/>
  <c r="D262" i="76" s="1"/>
  <c r="B253" i="76"/>
  <c r="C252" i="76"/>
  <c r="E250" i="76"/>
  <c r="H249" i="76"/>
  <c r="H246" i="76"/>
  <c r="H244" i="76"/>
  <c r="E240" i="76"/>
  <c r="E239" i="76"/>
  <c r="E238" i="76"/>
  <c r="E237" i="76"/>
  <c r="E236" i="76"/>
  <c r="E235" i="76"/>
  <c r="E233" i="76"/>
  <c r="E232" i="76"/>
  <c r="E231" i="76"/>
  <c r="H228" i="76"/>
  <c r="G228" i="76"/>
  <c r="F228" i="76"/>
  <c r="E234" i="76" s="1"/>
  <c r="E228" i="76"/>
  <c r="D228" i="76"/>
  <c r="C228" i="76"/>
  <c r="B228" i="76"/>
  <c r="D234" i="76" s="1"/>
  <c r="B225" i="76"/>
  <c r="C224" i="76"/>
  <c r="E222" i="76"/>
  <c r="H221" i="76"/>
  <c r="H218" i="76"/>
  <c r="H216" i="76"/>
  <c r="E212" i="76"/>
  <c r="E211" i="76"/>
  <c r="E210" i="76"/>
  <c r="E209" i="76"/>
  <c r="E208" i="76"/>
  <c r="E207" i="76"/>
  <c r="E205" i="76"/>
  <c r="E204" i="76"/>
  <c r="E203" i="76"/>
  <c r="H200" i="76"/>
  <c r="G200" i="76"/>
  <c r="F200" i="76"/>
  <c r="E206" i="76" s="1"/>
  <c r="E200" i="76"/>
  <c r="D200" i="76"/>
  <c r="C200" i="76"/>
  <c r="B200" i="76"/>
  <c r="D206" i="76" s="1"/>
  <c r="B197" i="76"/>
  <c r="C196" i="76"/>
  <c r="E194" i="76"/>
  <c r="H193" i="76"/>
  <c r="H190" i="76"/>
  <c r="H188" i="76"/>
  <c r="E184" i="76"/>
  <c r="E183" i="76"/>
  <c r="E182" i="76"/>
  <c r="E181" i="76"/>
  <c r="E180" i="76"/>
  <c r="E179" i="76"/>
  <c r="E177" i="76"/>
  <c r="E176" i="76"/>
  <c r="E175" i="76"/>
  <c r="H172" i="76"/>
  <c r="G172" i="76"/>
  <c r="F172" i="76"/>
  <c r="E178" i="76" s="1"/>
  <c r="E172" i="76"/>
  <c r="D172" i="76"/>
  <c r="C172" i="76"/>
  <c r="B172" i="76"/>
  <c r="D178" i="76" s="1"/>
  <c r="B169" i="76"/>
  <c r="C168" i="76"/>
  <c r="E166" i="76"/>
  <c r="H165" i="76"/>
  <c r="H162" i="76"/>
  <c r="H160" i="76"/>
  <c r="E156" i="76"/>
  <c r="E155" i="76"/>
  <c r="E154" i="76"/>
  <c r="E153" i="76"/>
  <c r="E152" i="76"/>
  <c r="E151" i="76"/>
  <c r="E149" i="76"/>
  <c r="E148" i="76"/>
  <c r="E147" i="76"/>
  <c r="H144" i="76"/>
  <c r="G144" i="76"/>
  <c r="F144" i="76"/>
  <c r="E159" i="76" s="1"/>
  <c r="E164" i="76" s="1"/>
  <c r="E144" i="76"/>
  <c r="D144" i="76"/>
  <c r="C144" i="76"/>
  <c r="B144" i="76"/>
  <c r="D150" i="76" s="1"/>
  <c r="B141" i="76"/>
  <c r="C140" i="76"/>
  <c r="C112" i="76"/>
  <c r="C84" i="76"/>
  <c r="C56" i="76"/>
  <c r="C28" i="76"/>
  <c r="D340" i="41"/>
  <c r="F338" i="41"/>
  <c r="D337" i="41"/>
  <c r="F337" i="41" s="1"/>
  <c r="D335" i="41"/>
  <c r="D333" i="41"/>
  <c r="D334" i="41" s="1"/>
  <c r="D330" i="41"/>
  <c r="D331" i="41" s="1"/>
  <c r="F328" i="41"/>
  <c r="F327" i="41"/>
  <c r="D324" i="41"/>
  <c r="D326" i="41" s="1"/>
  <c r="D322" i="41"/>
  <c r="D321" i="41"/>
  <c r="D323" i="41" s="1"/>
  <c r="F320" i="41"/>
  <c r="F319" i="41"/>
  <c r="F318" i="41"/>
  <c r="F317" i="41"/>
  <c r="E314" i="41"/>
  <c r="H310" i="41"/>
  <c r="G310" i="41"/>
  <c r="F310" i="41"/>
  <c r="E310" i="41"/>
  <c r="D310" i="41"/>
  <c r="C310" i="41"/>
  <c r="B310" i="41"/>
  <c r="D313" i="41" s="1"/>
  <c r="E313" i="41" s="1"/>
  <c r="B307" i="41"/>
  <c r="D306" i="41"/>
  <c r="F304" i="41"/>
  <c r="D303" i="41"/>
  <c r="F303" i="41" s="1"/>
  <c r="D301" i="41"/>
  <c r="D299" i="41"/>
  <c r="D300" i="41" s="1"/>
  <c r="D297" i="41"/>
  <c r="D296" i="41"/>
  <c r="F294" i="41"/>
  <c r="F293" i="41"/>
  <c r="F290" i="41"/>
  <c r="D290" i="41"/>
  <c r="D292" i="41" s="1"/>
  <c r="D289" i="41"/>
  <c r="D288" i="41"/>
  <c r="D287" i="41"/>
  <c r="F286" i="41"/>
  <c r="F285" i="41"/>
  <c r="F284" i="41"/>
  <c r="F283" i="41"/>
  <c r="E280" i="41"/>
  <c r="H276" i="41"/>
  <c r="G276" i="41"/>
  <c r="F276" i="41"/>
  <c r="E276" i="41"/>
  <c r="D276" i="41"/>
  <c r="C276" i="41"/>
  <c r="B276" i="41"/>
  <c r="D279" i="41" s="1"/>
  <c r="E279" i="41" s="1"/>
  <c r="B273" i="41"/>
  <c r="D272" i="41"/>
  <c r="F270" i="41"/>
  <c r="D269" i="41"/>
  <c r="F269" i="41" s="1"/>
  <c r="D267" i="41"/>
  <c r="D265" i="41"/>
  <c r="D266" i="41" s="1"/>
  <c r="D263" i="41"/>
  <c r="D262" i="41"/>
  <c r="F260" i="41"/>
  <c r="F259" i="41"/>
  <c r="D256" i="41"/>
  <c r="D258" i="41" s="1"/>
  <c r="D255" i="41"/>
  <c r="D254" i="41"/>
  <c r="D253" i="41"/>
  <c r="F252" i="41"/>
  <c r="F251" i="41"/>
  <c r="F250" i="41"/>
  <c r="F249" i="41"/>
  <c r="E246" i="41"/>
  <c r="H242" i="41"/>
  <c r="G242" i="41"/>
  <c r="F242" i="41"/>
  <c r="E242" i="41"/>
  <c r="D242" i="41"/>
  <c r="C242" i="41"/>
  <c r="B242" i="41"/>
  <c r="D245" i="41" s="1"/>
  <c r="E245" i="41" s="1"/>
  <c r="B239" i="41"/>
  <c r="D238" i="41"/>
  <c r="F236" i="41"/>
  <c r="D235" i="41"/>
  <c r="F235" i="41" s="1"/>
  <c r="D233" i="41"/>
  <c r="D231" i="41"/>
  <c r="D232" i="41" s="1"/>
  <c r="D228" i="41"/>
  <c r="D229" i="41" s="1"/>
  <c r="F226" i="41"/>
  <c r="F225" i="41"/>
  <c r="D222" i="41"/>
  <c r="D224" i="41" s="1"/>
  <c r="D221" i="41"/>
  <c r="D220" i="41"/>
  <c r="D219" i="41"/>
  <c r="F218" i="41"/>
  <c r="F217" i="41"/>
  <c r="F216" i="41"/>
  <c r="F215" i="41"/>
  <c r="E212" i="41"/>
  <c r="H208" i="41"/>
  <c r="G208" i="41"/>
  <c r="F208" i="41"/>
  <c r="E208" i="41"/>
  <c r="D208" i="41"/>
  <c r="C208" i="41"/>
  <c r="B208" i="41"/>
  <c r="D211" i="41" s="1"/>
  <c r="E211" i="41" s="1"/>
  <c r="B205" i="41"/>
  <c r="D204" i="41"/>
  <c r="F202" i="41"/>
  <c r="D201" i="41"/>
  <c r="F201" i="41" s="1"/>
  <c r="D199" i="41"/>
  <c r="D197" i="41"/>
  <c r="D198" i="41" s="1"/>
  <c r="D194" i="41"/>
  <c r="D195" i="41" s="1"/>
  <c r="F192" i="41"/>
  <c r="F191" i="41"/>
  <c r="D188" i="41"/>
  <c r="D190" i="41" s="1"/>
  <c r="D187" i="41"/>
  <c r="D186" i="41"/>
  <c r="D185" i="41"/>
  <c r="F184" i="41"/>
  <c r="F183" i="41"/>
  <c r="F182" i="41"/>
  <c r="F181" i="41"/>
  <c r="E178" i="41"/>
  <c r="H174" i="41"/>
  <c r="G174" i="41"/>
  <c r="F174" i="41"/>
  <c r="E174" i="41"/>
  <c r="D174" i="41"/>
  <c r="C174" i="41"/>
  <c r="B174" i="41"/>
  <c r="D177" i="41" s="1"/>
  <c r="E177" i="41" s="1"/>
  <c r="B171" i="41"/>
  <c r="D170" i="41"/>
  <c r="D136" i="41"/>
  <c r="D102" i="41"/>
  <c r="D68" i="41"/>
  <c r="C132" i="73"/>
  <c r="H130" i="73"/>
  <c r="H129" i="73"/>
  <c r="H128" i="73"/>
  <c r="H127" i="73"/>
  <c r="H126" i="73"/>
  <c r="H125" i="73"/>
  <c r="H123" i="73"/>
  <c r="G123" i="73"/>
  <c r="F123" i="73"/>
  <c r="E123" i="73"/>
  <c r="D123" i="73"/>
  <c r="C123" i="73"/>
  <c r="B123" i="73"/>
  <c r="B120" i="73"/>
  <c r="C119" i="73"/>
  <c r="H117" i="73"/>
  <c r="H116" i="73"/>
  <c r="H115" i="73"/>
  <c r="H114" i="73"/>
  <c r="H113" i="73"/>
  <c r="H112" i="73"/>
  <c r="H110" i="73"/>
  <c r="G110" i="73"/>
  <c r="F110" i="73"/>
  <c r="E110" i="73"/>
  <c r="D110" i="73"/>
  <c r="C110" i="73"/>
  <c r="B110" i="73"/>
  <c r="B107" i="73"/>
  <c r="C106" i="73"/>
  <c r="H104" i="73"/>
  <c r="H103" i="73"/>
  <c r="H102" i="73"/>
  <c r="H101" i="73"/>
  <c r="H100" i="73"/>
  <c r="H99" i="73"/>
  <c r="H97" i="73"/>
  <c r="G97" i="73"/>
  <c r="F97" i="73"/>
  <c r="E97" i="73"/>
  <c r="D97" i="73"/>
  <c r="C97" i="73"/>
  <c r="B97" i="73"/>
  <c r="B94" i="73"/>
  <c r="C93" i="73"/>
  <c r="H91" i="73"/>
  <c r="H90" i="73"/>
  <c r="H89" i="73"/>
  <c r="H88" i="73"/>
  <c r="H87" i="73"/>
  <c r="H86" i="73"/>
  <c r="H84" i="73"/>
  <c r="G84" i="73"/>
  <c r="F84" i="73"/>
  <c r="E84" i="73"/>
  <c r="D84" i="73"/>
  <c r="C84" i="73"/>
  <c r="B84" i="73"/>
  <c r="B81" i="73"/>
  <c r="C80" i="73"/>
  <c r="H78" i="73"/>
  <c r="H77" i="73"/>
  <c r="H76" i="73"/>
  <c r="H75" i="73"/>
  <c r="H74" i="73"/>
  <c r="H73" i="73"/>
  <c r="H71" i="73"/>
  <c r="G71" i="73"/>
  <c r="F71" i="73"/>
  <c r="E71" i="73"/>
  <c r="D71" i="73"/>
  <c r="C71" i="73"/>
  <c r="B71" i="73"/>
  <c r="B68" i="73"/>
  <c r="C67" i="73"/>
  <c r="C54" i="73"/>
  <c r="C41" i="73"/>
  <c r="C28" i="73"/>
  <c r="C15" i="73"/>
  <c r="D246" i="55"/>
  <c r="D248" i="55" s="1"/>
  <c r="E244" i="55"/>
  <c r="E243" i="55"/>
  <c r="E242" i="55"/>
  <c r="E241" i="55"/>
  <c r="E240" i="55"/>
  <c r="E239" i="55"/>
  <c r="E236" i="55"/>
  <c r="E234" i="55"/>
  <c r="E233" i="55"/>
  <c r="E232" i="55"/>
  <c r="H229" i="55"/>
  <c r="G229" i="55"/>
  <c r="F229" i="55"/>
  <c r="C250" i="55" s="1"/>
  <c r="E229" i="55"/>
  <c r="D229" i="55"/>
  <c r="C229" i="55"/>
  <c r="B229" i="55"/>
  <c r="D231" i="55" s="1"/>
  <c r="E231" i="55" s="1"/>
  <c r="B226" i="55"/>
  <c r="D221" i="55"/>
  <c r="D223" i="55" s="1"/>
  <c r="E219" i="55"/>
  <c r="E218" i="55"/>
  <c r="E217" i="55"/>
  <c r="E216" i="55"/>
  <c r="E215" i="55"/>
  <c r="E214" i="55"/>
  <c r="E211" i="55"/>
  <c r="E209" i="55"/>
  <c r="E208" i="55"/>
  <c r="E207" i="55"/>
  <c r="H204" i="55"/>
  <c r="G204" i="55"/>
  <c r="F204" i="55"/>
  <c r="C225" i="55" s="1"/>
  <c r="E204" i="55"/>
  <c r="D204" i="55"/>
  <c r="C204" i="55"/>
  <c r="B204" i="55"/>
  <c r="D206" i="55" s="1"/>
  <c r="E206" i="55" s="1"/>
  <c r="B201" i="55"/>
  <c r="D196" i="55"/>
  <c r="D198" i="55" s="1"/>
  <c r="E194" i="55"/>
  <c r="E193" i="55"/>
  <c r="E192" i="55"/>
  <c r="E191" i="55"/>
  <c r="E190" i="55"/>
  <c r="E189" i="55"/>
  <c r="E186" i="55"/>
  <c r="E184" i="55"/>
  <c r="E183" i="55"/>
  <c r="E182" i="55"/>
  <c r="H179" i="55"/>
  <c r="G179" i="55"/>
  <c r="F179" i="55"/>
  <c r="C200" i="55" s="1"/>
  <c r="E179" i="55"/>
  <c r="D179" i="55"/>
  <c r="C179" i="55"/>
  <c r="B179" i="55"/>
  <c r="D181" i="55" s="1"/>
  <c r="E181" i="55" s="1"/>
  <c r="B176" i="55"/>
  <c r="D171" i="55"/>
  <c r="D173" i="55" s="1"/>
  <c r="E169" i="55"/>
  <c r="E168" i="55"/>
  <c r="E167" i="55"/>
  <c r="E166" i="55"/>
  <c r="E165" i="55"/>
  <c r="E164" i="55"/>
  <c r="E161" i="55"/>
  <c r="E159" i="55"/>
  <c r="E158" i="55"/>
  <c r="E157" i="55"/>
  <c r="H154" i="55"/>
  <c r="G154" i="55"/>
  <c r="F154" i="55"/>
  <c r="C175" i="55" s="1"/>
  <c r="E154" i="55"/>
  <c r="D154" i="55"/>
  <c r="C154" i="55"/>
  <c r="B154" i="55"/>
  <c r="D156" i="55" s="1"/>
  <c r="E156" i="55" s="1"/>
  <c r="B151" i="55"/>
  <c r="D146" i="55"/>
  <c r="D148" i="55" s="1"/>
  <c r="E144" i="55"/>
  <c r="E143" i="55"/>
  <c r="E142" i="55"/>
  <c r="E141" i="55"/>
  <c r="E140" i="55"/>
  <c r="E139" i="55"/>
  <c r="E136" i="55"/>
  <c r="E134" i="55"/>
  <c r="E133" i="55"/>
  <c r="E132" i="55"/>
  <c r="H129" i="55"/>
  <c r="G129" i="55"/>
  <c r="F129" i="55"/>
  <c r="C150" i="55" s="1"/>
  <c r="E129" i="55"/>
  <c r="D129" i="55"/>
  <c r="C129" i="55"/>
  <c r="B129" i="55"/>
  <c r="D131" i="55" s="1"/>
  <c r="E131" i="55" s="1"/>
  <c r="B126" i="55"/>
  <c r="E268" i="74"/>
  <c r="H268" i="74" s="1"/>
  <c r="H265" i="74"/>
  <c r="H264" i="74"/>
  <c r="H263" i="74"/>
  <c r="E259" i="74"/>
  <c r="E258" i="74"/>
  <c r="E257" i="74"/>
  <c r="E256" i="74"/>
  <c r="E255" i="74"/>
  <c r="E254" i="74"/>
  <c r="E253" i="74"/>
  <c r="E252" i="74"/>
  <c r="E250" i="74"/>
  <c r="E249" i="74"/>
  <c r="H247" i="74"/>
  <c r="G247" i="74"/>
  <c r="F247" i="74"/>
  <c r="C270" i="74" s="1"/>
  <c r="E247" i="74"/>
  <c r="D247" i="74"/>
  <c r="C247" i="74"/>
  <c r="B247" i="74"/>
  <c r="B244" i="74"/>
  <c r="H241" i="74"/>
  <c r="E241" i="74"/>
  <c r="H238" i="74"/>
  <c r="H237" i="74"/>
  <c r="H236" i="74"/>
  <c r="E232" i="74"/>
  <c r="E231" i="74"/>
  <c r="E230" i="74"/>
  <c r="E229" i="74"/>
  <c r="E228" i="74"/>
  <c r="E227" i="74"/>
  <c r="E226" i="74"/>
  <c r="E225" i="74"/>
  <c r="E223" i="74"/>
  <c r="E222" i="74"/>
  <c r="H220" i="74"/>
  <c r="G220" i="74"/>
  <c r="F220" i="74"/>
  <c r="C243" i="74" s="1"/>
  <c r="E220" i="74"/>
  <c r="D220" i="74"/>
  <c r="C220" i="74"/>
  <c r="B220" i="74"/>
  <c r="B217" i="74"/>
  <c r="E214" i="74"/>
  <c r="H214" i="74" s="1"/>
  <c r="H211" i="74"/>
  <c r="H210" i="74"/>
  <c r="H209" i="74"/>
  <c r="E205" i="74"/>
  <c r="E204" i="74"/>
  <c r="E203" i="74"/>
  <c r="E202" i="74"/>
  <c r="E201" i="74"/>
  <c r="E200" i="74"/>
  <c r="E199" i="74"/>
  <c r="E198" i="74"/>
  <c r="E196" i="74"/>
  <c r="E195" i="74"/>
  <c r="H193" i="74"/>
  <c r="G193" i="74"/>
  <c r="F193" i="74"/>
  <c r="C216" i="74" s="1"/>
  <c r="E193" i="74"/>
  <c r="D193" i="74"/>
  <c r="C193" i="74"/>
  <c r="B193" i="74"/>
  <c r="B190" i="74"/>
  <c r="E187" i="74"/>
  <c r="H187" i="74" s="1"/>
  <c r="H184" i="74"/>
  <c r="H183" i="74"/>
  <c r="H182" i="74"/>
  <c r="E178" i="74"/>
  <c r="E177" i="74"/>
  <c r="E176" i="74"/>
  <c r="E175" i="74"/>
  <c r="E174" i="74"/>
  <c r="E173" i="74"/>
  <c r="E172" i="74"/>
  <c r="E171" i="74"/>
  <c r="E169" i="74"/>
  <c r="E168" i="74"/>
  <c r="H166" i="74"/>
  <c r="G166" i="74"/>
  <c r="F166" i="74"/>
  <c r="C189" i="74" s="1"/>
  <c r="E166" i="74"/>
  <c r="D166" i="74"/>
  <c r="C166" i="74"/>
  <c r="B166" i="74"/>
  <c r="B163" i="74"/>
  <c r="E160" i="74"/>
  <c r="H160" i="74" s="1"/>
  <c r="H157" i="74"/>
  <c r="H156" i="74"/>
  <c r="H155" i="74"/>
  <c r="E151" i="74"/>
  <c r="E150" i="74"/>
  <c r="E149" i="74"/>
  <c r="E148" i="74"/>
  <c r="E147" i="74"/>
  <c r="E146" i="74"/>
  <c r="E145" i="74"/>
  <c r="E144" i="74"/>
  <c r="E142" i="74"/>
  <c r="E141" i="74"/>
  <c r="H139" i="74"/>
  <c r="G139" i="74"/>
  <c r="F139" i="74"/>
  <c r="C162" i="74" s="1"/>
  <c r="E139" i="74"/>
  <c r="D139" i="74"/>
  <c r="C139" i="74"/>
  <c r="B139" i="74"/>
  <c r="B136" i="74"/>
  <c r="C240" i="75"/>
  <c r="H238" i="75"/>
  <c r="H235" i="75"/>
  <c r="H234" i="75"/>
  <c r="H233" i="75"/>
  <c r="E229" i="75"/>
  <c r="E228" i="75"/>
  <c r="E227" i="75"/>
  <c r="E226" i="75"/>
  <c r="E225" i="75"/>
  <c r="E224" i="75"/>
  <c r="E223" i="75"/>
  <c r="E222" i="75"/>
  <c r="H220" i="75"/>
  <c r="G220" i="75"/>
  <c r="F220" i="75"/>
  <c r="E232" i="75" s="1"/>
  <c r="E237" i="75" s="1"/>
  <c r="E220" i="75"/>
  <c r="D220" i="75"/>
  <c r="C220" i="75"/>
  <c r="B220" i="75"/>
  <c r="B217" i="75"/>
  <c r="C216" i="75"/>
  <c r="H214" i="75"/>
  <c r="H211" i="75"/>
  <c r="H210" i="75"/>
  <c r="H209" i="75"/>
  <c r="E205" i="75"/>
  <c r="E204" i="75"/>
  <c r="E203" i="75"/>
  <c r="E202" i="75"/>
  <c r="E201" i="75"/>
  <c r="E200" i="75"/>
  <c r="E199" i="75"/>
  <c r="E198" i="75"/>
  <c r="H196" i="75"/>
  <c r="G196" i="75"/>
  <c r="F196" i="75"/>
  <c r="E208" i="75" s="1"/>
  <c r="E213" i="75" s="1"/>
  <c r="E196" i="75"/>
  <c r="D196" i="75"/>
  <c r="C196" i="75"/>
  <c r="B196" i="75"/>
  <c r="B193" i="75"/>
  <c r="C192" i="75"/>
  <c r="H190" i="75"/>
  <c r="H187" i="75"/>
  <c r="H186" i="75"/>
  <c r="H185" i="75"/>
  <c r="E181" i="75"/>
  <c r="E180" i="75"/>
  <c r="E179" i="75"/>
  <c r="E178" i="75"/>
  <c r="E177" i="75"/>
  <c r="E176" i="75"/>
  <c r="E175" i="75"/>
  <c r="E174" i="75"/>
  <c r="H172" i="75"/>
  <c r="G172" i="75"/>
  <c r="F172" i="75"/>
  <c r="E184" i="75" s="1"/>
  <c r="E189" i="75" s="1"/>
  <c r="E172" i="75"/>
  <c r="D172" i="75"/>
  <c r="C172" i="75"/>
  <c r="B172" i="75"/>
  <c r="B169" i="75"/>
  <c r="C168" i="75"/>
  <c r="H166" i="75"/>
  <c r="H163" i="75"/>
  <c r="H162" i="75"/>
  <c r="H161" i="75"/>
  <c r="E157" i="75"/>
  <c r="E156" i="75"/>
  <c r="E155" i="75"/>
  <c r="E154" i="75"/>
  <c r="E153" i="75"/>
  <c r="E152" i="75"/>
  <c r="E151" i="75"/>
  <c r="E150" i="75"/>
  <c r="H148" i="75"/>
  <c r="G148" i="75"/>
  <c r="F148" i="75"/>
  <c r="E160" i="75" s="1"/>
  <c r="E165" i="75" s="1"/>
  <c r="E148" i="75"/>
  <c r="D148" i="75"/>
  <c r="C148" i="75"/>
  <c r="B148" i="75"/>
  <c r="B145" i="75"/>
  <c r="C144" i="75"/>
  <c r="H142" i="75"/>
  <c r="H139" i="75"/>
  <c r="H138" i="75"/>
  <c r="H137" i="75"/>
  <c r="E133" i="75"/>
  <c r="E132" i="75"/>
  <c r="E131" i="75"/>
  <c r="E130" i="75"/>
  <c r="E129" i="75"/>
  <c r="E128" i="75"/>
  <c r="E127" i="75"/>
  <c r="E126" i="75"/>
  <c r="H124" i="75"/>
  <c r="G124" i="75"/>
  <c r="F124" i="75"/>
  <c r="E136" i="75" s="1"/>
  <c r="E141" i="75" s="1"/>
  <c r="E124" i="75"/>
  <c r="D124" i="75"/>
  <c r="C124" i="75"/>
  <c r="B124" i="75"/>
  <c r="B121" i="75"/>
  <c r="C120" i="75"/>
  <c r="C96" i="75"/>
  <c r="C72" i="75"/>
  <c r="C48" i="75"/>
  <c r="C24" i="75"/>
  <c r="C280" i="72"/>
  <c r="H277" i="72"/>
  <c r="E273" i="72"/>
  <c r="H271" i="72"/>
  <c r="H269" i="72"/>
  <c r="H266" i="72"/>
  <c r="H265" i="72"/>
  <c r="G265" i="72"/>
  <c r="H264" i="72"/>
  <c r="H263" i="72"/>
  <c r="H262" i="72"/>
  <c r="H261" i="72"/>
  <c r="H260" i="72"/>
  <c r="H259" i="72"/>
  <c r="H258" i="72"/>
  <c r="H256" i="72"/>
  <c r="G256" i="72"/>
  <c r="F256" i="72"/>
  <c r="E256" i="72"/>
  <c r="D256" i="72"/>
  <c r="C256" i="72"/>
  <c r="B256" i="72"/>
  <c r="B253" i="72"/>
  <c r="C252" i="72"/>
  <c r="H249" i="72"/>
  <c r="E245" i="72"/>
  <c r="E246" i="72" s="1"/>
  <c r="E248" i="72" s="1"/>
  <c r="H243" i="72"/>
  <c r="H241" i="72"/>
  <c r="H238" i="72"/>
  <c r="H237" i="72"/>
  <c r="G237" i="72"/>
  <c r="H236" i="72"/>
  <c r="H235" i="72"/>
  <c r="H234" i="72"/>
  <c r="H233" i="72"/>
  <c r="H232" i="72"/>
  <c r="H231" i="72"/>
  <c r="H230" i="72"/>
  <c r="H228" i="72"/>
  <c r="G228" i="72"/>
  <c r="F228" i="72"/>
  <c r="E228" i="72"/>
  <c r="D228" i="72"/>
  <c r="C228" i="72"/>
  <c r="B228" i="72"/>
  <c r="B225" i="72"/>
  <c r="C224" i="72"/>
  <c r="H221" i="72"/>
  <c r="E217" i="72"/>
  <c r="E218" i="72" s="1"/>
  <c r="E220" i="72" s="1"/>
  <c r="H215" i="72"/>
  <c r="H213" i="72"/>
  <c r="H210" i="72"/>
  <c r="H209" i="72"/>
  <c r="G209" i="72"/>
  <c r="H208" i="72"/>
  <c r="H207" i="72"/>
  <c r="H206" i="72"/>
  <c r="H205" i="72"/>
  <c r="H204" i="72"/>
  <c r="H203" i="72"/>
  <c r="H202" i="72"/>
  <c r="H200" i="72"/>
  <c r="G200" i="72"/>
  <c r="F200" i="72"/>
  <c r="E200" i="72"/>
  <c r="D200" i="72"/>
  <c r="C200" i="72"/>
  <c r="B200" i="72"/>
  <c r="B197" i="72"/>
  <c r="C196" i="72"/>
  <c r="H193" i="72"/>
  <c r="E189" i="72"/>
  <c r="H187" i="72"/>
  <c r="H185" i="72"/>
  <c r="H182" i="72"/>
  <c r="H181" i="72"/>
  <c r="G181" i="72"/>
  <c r="H180" i="72"/>
  <c r="H179" i="72"/>
  <c r="H178" i="72"/>
  <c r="H177" i="72"/>
  <c r="H176" i="72"/>
  <c r="H175" i="72"/>
  <c r="H174" i="72"/>
  <c r="H172" i="72"/>
  <c r="G172" i="72"/>
  <c r="F172" i="72"/>
  <c r="E172" i="72"/>
  <c r="D172" i="72"/>
  <c r="C172" i="72"/>
  <c r="B172" i="72"/>
  <c r="B169" i="72"/>
  <c r="C168" i="72"/>
  <c r="H165" i="72"/>
  <c r="E161" i="72"/>
  <c r="E162" i="72" s="1"/>
  <c r="E164" i="72" s="1"/>
  <c r="H159" i="72"/>
  <c r="H157" i="72"/>
  <c r="H154" i="72"/>
  <c r="H153" i="72"/>
  <c r="G153" i="72"/>
  <c r="H152" i="72"/>
  <c r="H151" i="72"/>
  <c r="H150" i="72"/>
  <c r="H149" i="72"/>
  <c r="H148" i="72"/>
  <c r="H147" i="72"/>
  <c r="H146" i="72"/>
  <c r="H144" i="72"/>
  <c r="G144" i="72"/>
  <c r="F144" i="72"/>
  <c r="E144" i="72"/>
  <c r="D144" i="72"/>
  <c r="C144" i="72"/>
  <c r="B144" i="72"/>
  <c r="B141" i="72"/>
  <c r="C140" i="72"/>
  <c r="C112" i="72"/>
  <c r="C84" i="72"/>
  <c r="C56" i="72"/>
  <c r="H279" i="68"/>
  <c r="E275" i="68"/>
  <c r="E276" i="68" s="1"/>
  <c r="E278" i="68" s="1"/>
  <c r="H273" i="68"/>
  <c r="H271" i="68"/>
  <c r="H268" i="68"/>
  <c r="H267" i="68"/>
  <c r="G267" i="68"/>
  <c r="H266" i="68"/>
  <c r="H265" i="68"/>
  <c r="H264" i="68"/>
  <c r="H263" i="68"/>
  <c r="H262" i="68"/>
  <c r="H261" i="68"/>
  <c r="H260" i="68"/>
  <c r="H258" i="68"/>
  <c r="G258" i="68"/>
  <c r="F258" i="68"/>
  <c r="C282" i="68" s="1"/>
  <c r="E258" i="68"/>
  <c r="D258" i="68"/>
  <c r="C258" i="68"/>
  <c r="B258" i="68"/>
  <c r="B255" i="68"/>
  <c r="H251" i="68"/>
  <c r="E247" i="68"/>
  <c r="H245" i="68"/>
  <c r="H243" i="68"/>
  <c r="H240" i="68"/>
  <c r="H239" i="68"/>
  <c r="G239" i="68"/>
  <c r="E248" i="68" s="1"/>
  <c r="E250" i="68" s="1"/>
  <c r="H238" i="68"/>
  <c r="H237" i="68"/>
  <c r="H236" i="68"/>
  <c r="H235" i="68"/>
  <c r="H234" i="68"/>
  <c r="H233" i="68"/>
  <c r="H232" i="68"/>
  <c r="H230" i="68"/>
  <c r="G230" i="68"/>
  <c r="F230" i="68"/>
  <c r="C254" i="68" s="1"/>
  <c r="E230" i="68"/>
  <c r="D230" i="68"/>
  <c r="C230" i="68"/>
  <c r="B230" i="68"/>
  <c r="B227" i="68"/>
  <c r="H223" i="68"/>
  <c r="E219" i="68"/>
  <c r="E220" i="68" s="1"/>
  <c r="E222" i="68" s="1"/>
  <c r="H217" i="68"/>
  <c r="H215" i="68"/>
  <c r="H212" i="68"/>
  <c r="H211" i="68"/>
  <c r="G211" i="68"/>
  <c r="H210" i="68"/>
  <c r="H209" i="68"/>
  <c r="H208" i="68"/>
  <c r="H207" i="68"/>
  <c r="H206" i="68"/>
  <c r="H205" i="68"/>
  <c r="H204" i="68"/>
  <c r="H202" i="68"/>
  <c r="G202" i="68"/>
  <c r="F202" i="68"/>
  <c r="C226" i="68" s="1"/>
  <c r="E202" i="68"/>
  <c r="D202" i="68"/>
  <c r="C202" i="68"/>
  <c r="B202" i="68"/>
  <c r="B199" i="68"/>
  <c r="H195" i="68"/>
  <c r="E191" i="68"/>
  <c r="E192" i="68" s="1"/>
  <c r="E194" i="68" s="1"/>
  <c r="H189" i="68"/>
  <c r="H187" i="68"/>
  <c r="H184" i="68"/>
  <c r="H183" i="68"/>
  <c r="G183" i="68"/>
  <c r="H182" i="68"/>
  <c r="H181" i="68"/>
  <c r="H180" i="68"/>
  <c r="H179" i="68"/>
  <c r="H178" i="68"/>
  <c r="H177" i="68"/>
  <c r="H176" i="68"/>
  <c r="H174" i="68"/>
  <c r="G174" i="68"/>
  <c r="F174" i="68"/>
  <c r="C198" i="68" s="1"/>
  <c r="E174" i="68"/>
  <c r="D174" i="68"/>
  <c r="C174" i="68"/>
  <c r="B174" i="68"/>
  <c r="B171" i="68"/>
  <c r="H167" i="68"/>
  <c r="E163" i="68"/>
  <c r="E164" i="68" s="1"/>
  <c r="E166" i="68" s="1"/>
  <c r="H161" i="68"/>
  <c r="H159" i="68"/>
  <c r="H156" i="68"/>
  <c r="H155" i="68"/>
  <c r="G155" i="68"/>
  <c r="H154" i="68"/>
  <c r="H153" i="68"/>
  <c r="H152" i="68"/>
  <c r="H151" i="68"/>
  <c r="H150" i="68"/>
  <c r="H149" i="68"/>
  <c r="H148" i="68"/>
  <c r="H146" i="68"/>
  <c r="G146" i="68"/>
  <c r="F146" i="68"/>
  <c r="C170" i="68" s="1"/>
  <c r="E146" i="68"/>
  <c r="D146" i="68"/>
  <c r="C146" i="68"/>
  <c r="B146" i="68"/>
  <c r="B143" i="68"/>
  <c r="C124" i="52"/>
  <c r="H123" i="52"/>
  <c r="H125" i="52" s="1"/>
  <c r="H120" i="52"/>
  <c r="H119" i="52"/>
  <c r="H118" i="52"/>
  <c r="H117" i="52"/>
  <c r="B115" i="52"/>
  <c r="C110" i="52"/>
  <c r="H109" i="52"/>
  <c r="H111" i="52" s="1"/>
  <c r="H106" i="52"/>
  <c r="H105" i="52"/>
  <c r="H104" i="52"/>
  <c r="H103" i="52"/>
  <c r="B101" i="52"/>
  <c r="C96" i="52"/>
  <c r="H95" i="52"/>
  <c r="H97" i="52" s="1"/>
  <c r="H92" i="52"/>
  <c r="H91" i="52"/>
  <c r="H90" i="52"/>
  <c r="H89" i="52"/>
  <c r="B87" i="52"/>
  <c r="H83" i="52"/>
  <c r="C82" i="52"/>
  <c r="H81" i="52"/>
  <c r="H78" i="52"/>
  <c r="H77" i="52"/>
  <c r="H76" i="52"/>
  <c r="H75" i="52"/>
  <c r="B73" i="52"/>
  <c r="H185" i="90"/>
  <c r="H142" i="90"/>
  <c r="H98" i="90"/>
  <c r="H54" i="90"/>
  <c r="E112" i="66"/>
  <c r="E111" i="66"/>
  <c r="E86" i="66"/>
  <c r="E85" i="66"/>
  <c r="E60" i="66"/>
  <c r="E59" i="66"/>
  <c r="E34" i="66"/>
  <c r="E33" i="66"/>
  <c r="E8" i="66"/>
  <c r="E116" i="84"/>
  <c r="E115" i="84"/>
  <c r="E89" i="84"/>
  <c r="E88" i="84"/>
  <c r="E62" i="84"/>
  <c r="E61" i="84"/>
  <c r="E35" i="84"/>
  <c r="E34" i="84"/>
  <c r="E8" i="84"/>
  <c r="E104" i="87"/>
  <c r="E103" i="87"/>
  <c r="E80" i="87"/>
  <c r="E79" i="87"/>
  <c r="E56" i="87"/>
  <c r="E55" i="87"/>
  <c r="E32" i="87"/>
  <c r="E31" i="87"/>
  <c r="E8" i="87"/>
  <c r="F137" i="86"/>
  <c r="F109" i="86"/>
  <c r="F81" i="86"/>
  <c r="F53" i="86"/>
  <c r="E116" i="83"/>
  <c r="E115" i="83"/>
  <c r="E89" i="83"/>
  <c r="E88" i="83"/>
  <c r="E62" i="83"/>
  <c r="E61" i="83"/>
  <c r="E35" i="83"/>
  <c r="E34" i="83"/>
  <c r="E8" i="83"/>
  <c r="E112" i="59"/>
  <c r="E111" i="59"/>
  <c r="E86" i="59"/>
  <c r="E85" i="59"/>
  <c r="E60" i="59"/>
  <c r="E59" i="59"/>
  <c r="E34" i="59"/>
  <c r="E33" i="59"/>
  <c r="E8" i="59"/>
  <c r="F176" i="94"/>
  <c r="F140" i="94"/>
  <c r="F104" i="94"/>
  <c r="F68" i="94"/>
  <c r="F32" i="94"/>
  <c r="H157" i="94"/>
  <c r="H121" i="94"/>
  <c r="H85" i="94"/>
  <c r="H49" i="94"/>
  <c r="H203" i="92"/>
  <c r="H154" i="92"/>
  <c r="H105" i="92"/>
  <c r="H57" i="92"/>
  <c r="F41" i="92"/>
  <c r="F40" i="92"/>
  <c r="F39" i="92"/>
  <c r="F38" i="92"/>
  <c r="F35" i="92"/>
  <c r="F26" i="92"/>
  <c r="E141" i="38"/>
  <c r="E110" i="38"/>
  <c r="E79" i="38"/>
  <c r="E48" i="38"/>
  <c r="E17" i="38"/>
  <c r="E139" i="38"/>
  <c r="E108" i="38"/>
  <c r="E77" i="38"/>
  <c r="E46" i="38"/>
  <c r="E15" i="38"/>
  <c r="F148" i="38"/>
  <c r="F117" i="38"/>
  <c r="F86" i="38"/>
  <c r="F55" i="38"/>
  <c r="E137" i="38"/>
  <c r="E106" i="38"/>
  <c r="E75" i="38"/>
  <c r="E44" i="38"/>
  <c r="D165" i="41"/>
  <c r="D131" i="41"/>
  <c r="D97" i="41"/>
  <c r="D63" i="41"/>
  <c r="D29" i="41"/>
  <c r="D152" i="41"/>
  <c r="D118" i="41"/>
  <c r="D84" i="41"/>
  <c r="D50" i="41"/>
  <c r="D16" i="41"/>
  <c r="F147" i="41"/>
  <c r="F113" i="41"/>
  <c r="F79" i="41"/>
  <c r="F45" i="41"/>
  <c r="G195" i="95"/>
  <c r="G146" i="95"/>
  <c r="G97" i="95"/>
  <c r="G48" i="95"/>
  <c r="G100" i="87"/>
  <c r="G76" i="87"/>
  <c r="G52" i="87"/>
  <c r="G28" i="87"/>
  <c r="G112" i="84"/>
  <c r="G85" i="84"/>
  <c r="G58" i="84"/>
  <c r="G31" i="84"/>
  <c r="G108" i="59"/>
  <c r="G82" i="59"/>
  <c r="G56" i="59"/>
  <c r="G30" i="59"/>
  <c r="G148" i="94"/>
  <c r="G112" i="94"/>
  <c r="G76" i="94"/>
  <c r="G40" i="94"/>
  <c r="G193" i="92"/>
  <c r="G144" i="92"/>
  <c r="G95" i="92"/>
  <c r="G47" i="92"/>
  <c r="G174" i="90"/>
  <c r="G131" i="90"/>
  <c r="G87" i="90"/>
  <c r="G43" i="90"/>
  <c r="G112" i="74"/>
  <c r="G85" i="74"/>
  <c r="G58" i="74"/>
  <c r="G31" i="74"/>
  <c r="G104" i="55"/>
  <c r="G79" i="55"/>
  <c r="G54" i="55"/>
  <c r="G29" i="55"/>
  <c r="H13" i="94"/>
  <c r="H14" i="92"/>
  <c r="H15" i="90"/>
  <c r="E129" i="86"/>
  <c r="E128" i="86"/>
  <c r="E101" i="86"/>
  <c r="E100" i="86"/>
  <c r="E73" i="86"/>
  <c r="E72" i="86"/>
  <c r="E45" i="86"/>
  <c r="E44" i="86"/>
  <c r="E17" i="86"/>
  <c r="E16" i="86"/>
  <c r="E107" i="87"/>
  <c r="E83" i="87"/>
  <c r="E59" i="87"/>
  <c r="E35" i="87"/>
  <c r="E11" i="87"/>
  <c r="E125" i="83"/>
  <c r="E98" i="83"/>
  <c r="E71" i="83"/>
  <c r="E44" i="83"/>
  <c r="E17" i="83"/>
  <c r="E119" i="84"/>
  <c r="E92" i="84"/>
  <c r="E65" i="84"/>
  <c r="E38" i="84"/>
  <c r="E11" i="84"/>
  <c r="E120" i="83"/>
  <c r="E93" i="83"/>
  <c r="E66" i="83"/>
  <c r="E39" i="83"/>
  <c r="E12" i="83"/>
  <c r="D117" i="83"/>
  <c r="D90" i="83"/>
  <c r="D63" i="83"/>
  <c r="D36" i="83"/>
  <c r="D9" i="83"/>
  <c r="E15" i="59"/>
  <c r="E121" i="59"/>
  <c r="E95" i="59"/>
  <c r="E69" i="59"/>
  <c r="E43" i="59"/>
  <c r="E17" i="59"/>
  <c r="E115" i="59"/>
  <c r="E89" i="59"/>
  <c r="E63" i="59"/>
  <c r="E37" i="59"/>
  <c r="E11" i="59"/>
  <c r="E210" i="92"/>
  <c r="E161" i="92"/>
  <c r="E112" i="92"/>
  <c r="E64" i="92"/>
  <c r="E21" i="92"/>
  <c r="E12" i="90"/>
  <c r="E192" i="90"/>
  <c r="E149" i="90"/>
  <c r="E105" i="90"/>
  <c r="E61" i="90"/>
  <c r="E22" i="90"/>
  <c r="G100" i="36"/>
  <c r="G79" i="36"/>
  <c r="G58" i="36"/>
  <c r="G37" i="36"/>
  <c r="G16" i="36"/>
  <c r="E140" i="38"/>
  <c r="E109" i="38"/>
  <c r="E78" i="38"/>
  <c r="E47" i="38"/>
  <c r="E16" i="38"/>
  <c r="F149" i="41"/>
  <c r="F115" i="41"/>
  <c r="F81" i="41"/>
  <c r="F47" i="41"/>
  <c r="D15" i="41"/>
  <c r="E83" i="75"/>
  <c r="E59" i="75"/>
  <c r="E35" i="75"/>
  <c r="E11" i="75"/>
  <c r="E93" i="74"/>
  <c r="E66" i="74"/>
  <c r="E39" i="74"/>
  <c r="E12" i="74"/>
  <c r="E91" i="55"/>
  <c r="E66" i="55"/>
  <c r="E41" i="55"/>
  <c r="E16" i="55"/>
  <c r="H111" i="68"/>
  <c r="H83" i="68"/>
  <c r="H55" i="68"/>
  <c r="H109" i="72"/>
  <c r="H81" i="72"/>
  <c r="H53" i="72"/>
  <c r="H25" i="72"/>
  <c r="H27" i="68"/>
  <c r="E9" i="38"/>
  <c r="E7" i="38"/>
  <c r="E13" i="38"/>
  <c r="E6" i="97"/>
  <c r="E133" i="74"/>
  <c r="H133" i="74" s="1"/>
  <c r="E106" i="74"/>
  <c r="H106" i="74" s="1"/>
  <c r="E79" i="74"/>
  <c r="H79" i="74" s="1"/>
  <c r="H52" i="74"/>
  <c r="E52" i="74"/>
  <c r="H25" i="74"/>
  <c r="E25" i="74"/>
  <c r="F128" i="59"/>
  <c r="D126" i="59"/>
  <c r="F126" i="59" s="1"/>
  <c r="E120" i="59"/>
  <c r="E119" i="59"/>
  <c r="E118" i="59"/>
  <c r="E117" i="59"/>
  <c r="E116" i="59"/>
  <c r="E110" i="59"/>
  <c r="H108" i="59"/>
  <c r="F108" i="59"/>
  <c r="D124" i="59" s="1"/>
  <c r="E108" i="59"/>
  <c r="D108" i="59"/>
  <c r="C108" i="59"/>
  <c r="B108" i="59"/>
  <c r="D113" i="59" s="1"/>
  <c r="B105" i="59"/>
  <c r="F102" i="59"/>
  <c r="D100" i="59"/>
  <c r="F100" i="59" s="1"/>
  <c r="E94" i="59"/>
  <c r="E93" i="59"/>
  <c r="E92" i="59"/>
  <c r="E91" i="59"/>
  <c r="E90" i="59"/>
  <c r="E84" i="59"/>
  <c r="H82" i="59"/>
  <c r="F82" i="59"/>
  <c r="D98" i="59" s="1"/>
  <c r="E82" i="59"/>
  <c r="D82" i="59"/>
  <c r="C82" i="59"/>
  <c r="B82" i="59"/>
  <c r="D87" i="59" s="1"/>
  <c r="B79" i="59"/>
  <c r="F76" i="59"/>
  <c r="D74" i="59"/>
  <c r="F74" i="59" s="1"/>
  <c r="E68" i="59"/>
  <c r="E67" i="59"/>
  <c r="E66" i="59"/>
  <c r="E65" i="59"/>
  <c r="E64" i="59"/>
  <c r="E58" i="59"/>
  <c r="H56" i="59"/>
  <c r="F56" i="59"/>
  <c r="D72" i="59" s="1"/>
  <c r="E56" i="59"/>
  <c r="D56" i="59"/>
  <c r="C56" i="59"/>
  <c r="B56" i="59"/>
  <c r="D61" i="59" s="1"/>
  <c r="B53" i="59"/>
  <c r="F50" i="59"/>
  <c r="D48" i="59"/>
  <c r="F48" i="59" s="1"/>
  <c r="E42" i="59"/>
  <c r="E41" i="59"/>
  <c r="E40" i="59"/>
  <c r="E39" i="59"/>
  <c r="E38" i="59"/>
  <c r="E32" i="59"/>
  <c r="H30" i="59"/>
  <c r="F30" i="59"/>
  <c r="D46" i="59" s="1"/>
  <c r="E30" i="59"/>
  <c r="D30" i="59"/>
  <c r="C30" i="59"/>
  <c r="B30" i="59"/>
  <c r="D35" i="59" s="1"/>
  <c r="B27" i="59"/>
  <c r="E14" i="59"/>
  <c r="E138" i="38"/>
  <c r="E107" i="38"/>
  <c r="E76" i="38"/>
  <c r="E45" i="38"/>
  <c r="H130" i="74"/>
  <c r="H129" i="74"/>
  <c r="H128" i="74"/>
  <c r="E124" i="74"/>
  <c r="E123" i="74"/>
  <c r="E122" i="74"/>
  <c r="E121" i="74"/>
  <c r="E120" i="74"/>
  <c r="E119" i="74"/>
  <c r="E118" i="74"/>
  <c r="E117" i="74"/>
  <c r="E115" i="74"/>
  <c r="E114" i="74"/>
  <c r="H112" i="74"/>
  <c r="F112" i="74"/>
  <c r="E127" i="74" s="1"/>
  <c r="E132" i="74" s="1"/>
  <c r="E112" i="74"/>
  <c r="D112" i="74"/>
  <c r="C112" i="74"/>
  <c r="B112" i="74"/>
  <c r="B109" i="74"/>
  <c r="H103" i="74"/>
  <c r="H102" i="74"/>
  <c r="H101" i="74"/>
  <c r="E97" i="74"/>
  <c r="E96" i="74"/>
  <c r="E95" i="74"/>
  <c r="E94" i="74"/>
  <c r="E92" i="74"/>
  <c r="E91" i="74"/>
  <c r="E90" i="74"/>
  <c r="E88" i="74"/>
  <c r="E87" i="74"/>
  <c r="H85" i="74"/>
  <c r="F85" i="74"/>
  <c r="E100" i="74" s="1"/>
  <c r="E105" i="74" s="1"/>
  <c r="E85" i="74"/>
  <c r="D85" i="74"/>
  <c r="C85" i="74"/>
  <c r="B85" i="74"/>
  <c r="B82" i="74"/>
  <c r="H76" i="74"/>
  <c r="H75" i="74"/>
  <c r="H74" i="74"/>
  <c r="E70" i="74"/>
  <c r="E69" i="74"/>
  <c r="E68" i="74"/>
  <c r="E67" i="74"/>
  <c r="E65" i="74"/>
  <c r="E64" i="74"/>
  <c r="E63" i="74"/>
  <c r="E61" i="74"/>
  <c r="E60" i="74"/>
  <c r="H58" i="74"/>
  <c r="F58" i="74"/>
  <c r="E73" i="74" s="1"/>
  <c r="E78" i="74" s="1"/>
  <c r="E58" i="74"/>
  <c r="D58" i="74"/>
  <c r="C58" i="74"/>
  <c r="B58" i="74"/>
  <c r="B55" i="74"/>
  <c r="H49" i="74"/>
  <c r="H48" i="74"/>
  <c r="H47" i="74"/>
  <c r="E43" i="74"/>
  <c r="E42" i="74"/>
  <c r="E41" i="74"/>
  <c r="E40" i="74"/>
  <c r="E38" i="74"/>
  <c r="E37" i="74"/>
  <c r="E36" i="74"/>
  <c r="E34" i="74"/>
  <c r="E33" i="74"/>
  <c r="H31" i="74"/>
  <c r="F31" i="74"/>
  <c r="C54" i="74" s="1"/>
  <c r="E31" i="74"/>
  <c r="D31" i="74"/>
  <c r="C31" i="74"/>
  <c r="B31" i="74"/>
  <c r="B28" i="74"/>
  <c r="E11" i="74"/>
  <c r="E10" i="74"/>
  <c r="E9" i="74"/>
  <c r="F226" i="92"/>
  <c r="F225" i="92"/>
  <c r="F223" i="92"/>
  <c r="F222" i="92"/>
  <c r="F221" i="92"/>
  <c r="F220" i="92"/>
  <c r="F219" i="92"/>
  <c r="F218" i="92"/>
  <c r="F217" i="92"/>
  <c r="F216" i="92"/>
  <c r="E212" i="92"/>
  <c r="E211" i="92"/>
  <c r="E209" i="92"/>
  <c r="E208" i="92"/>
  <c r="E207" i="92"/>
  <c r="E206" i="92"/>
  <c r="E205" i="92"/>
  <c r="E202" i="92"/>
  <c r="E201" i="92"/>
  <c r="E200" i="92"/>
  <c r="E199" i="92"/>
  <c r="E198" i="92"/>
  <c r="E197" i="92"/>
  <c r="E196" i="92"/>
  <c r="H193" i="92"/>
  <c r="F193" i="92"/>
  <c r="D232" i="92" s="1"/>
  <c r="E193" i="92"/>
  <c r="D193" i="92"/>
  <c r="F230" i="92" s="1"/>
  <c r="C193" i="92"/>
  <c r="B193" i="92"/>
  <c r="D204" i="92" s="1"/>
  <c r="B190" i="92"/>
  <c r="F177" i="92"/>
  <c r="F176" i="92"/>
  <c r="F174" i="92"/>
  <c r="F173" i="92"/>
  <c r="F172" i="92"/>
  <c r="F171" i="92"/>
  <c r="F170" i="92"/>
  <c r="F169" i="92"/>
  <c r="F168" i="92"/>
  <c r="F167" i="92"/>
  <c r="E163" i="92"/>
  <c r="E162" i="92"/>
  <c r="E160" i="92"/>
  <c r="E159" i="92"/>
  <c r="E158" i="92"/>
  <c r="E157" i="92"/>
  <c r="E156" i="92"/>
  <c r="E153" i="92"/>
  <c r="E152" i="92"/>
  <c r="E151" i="92"/>
  <c r="E150" i="92"/>
  <c r="E149" i="92"/>
  <c r="E148" i="92"/>
  <c r="E147" i="92"/>
  <c r="H144" i="92"/>
  <c r="F144" i="92"/>
  <c r="D183" i="92" s="1"/>
  <c r="E144" i="92"/>
  <c r="D144" i="92"/>
  <c r="F166" i="92" s="1"/>
  <c r="C144" i="92"/>
  <c r="B144" i="92"/>
  <c r="D155" i="92" s="1"/>
  <c r="B141" i="92"/>
  <c r="F128" i="92"/>
  <c r="F127" i="92"/>
  <c r="F125" i="92"/>
  <c r="F124" i="92"/>
  <c r="F123" i="92"/>
  <c r="F122" i="92"/>
  <c r="F121" i="92"/>
  <c r="F120" i="92"/>
  <c r="F119" i="92"/>
  <c r="F118" i="92"/>
  <c r="E114" i="92"/>
  <c r="E113" i="92"/>
  <c r="E111" i="92"/>
  <c r="E110" i="92"/>
  <c r="E109" i="92"/>
  <c r="E108" i="92"/>
  <c r="E107" i="92"/>
  <c r="E104" i="92"/>
  <c r="E103" i="92"/>
  <c r="E102" i="92"/>
  <c r="E101" i="92"/>
  <c r="E100" i="92"/>
  <c r="E99" i="92"/>
  <c r="E98" i="92"/>
  <c r="H95" i="92"/>
  <c r="F95" i="92"/>
  <c r="D134" i="92" s="1"/>
  <c r="E95" i="92"/>
  <c r="D95" i="92"/>
  <c r="F117" i="92" s="1"/>
  <c r="C95" i="92"/>
  <c r="B95" i="92"/>
  <c r="D106" i="92" s="1"/>
  <c r="B92" i="92"/>
  <c r="F80" i="92"/>
  <c r="F79" i="92"/>
  <c r="F77" i="92"/>
  <c r="F76" i="92"/>
  <c r="F75" i="92"/>
  <c r="F74" i="92"/>
  <c r="F73" i="92"/>
  <c r="F72" i="92"/>
  <c r="F71" i="92"/>
  <c r="F70" i="92"/>
  <c r="E66" i="92"/>
  <c r="E65" i="92"/>
  <c r="E63" i="92"/>
  <c r="E62" i="92"/>
  <c r="E61" i="92"/>
  <c r="E60" i="92"/>
  <c r="E59" i="92"/>
  <c r="E56" i="92"/>
  <c r="E55" i="92"/>
  <c r="E54" i="92"/>
  <c r="E53" i="92"/>
  <c r="E52" i="92"/>
  <c r="E51" i="92"/>
  <c r="E50" i="92"/>
  <c r="H47" i="92"/>
  <c r="F47" i="92"/>
  <c r="D86" i="92" s="1"/>
  <c r="E47" i="92"/>
  <c r="D47" i="92"/>
  <c r="F82" i="92" s="1"/>
  <c r="C47" i="92"/>
  <c r="B47" i="92"/>
  <c r="D58" i="92" s="1"/>
  <c r="B44" i="92"/>
  <c r="H118" i="75"/>
  <c r="H94" i="75"/>
  <c r="H70" i="75"/>
  <c r="H46" i="75"/>
  <c r="D28" i="98"/>
  <c r="D26" i="98"/>
  <c r="F153" i="96"/>
  <c r="F152" i="96"/>
  <c r="D152" i="96"/>
  <c r="F151" i="96"/>
  <c r="D149" i="96"/>
  <c r="D147" i="96"/>
  <c r="D148" i="96" s="1"/>
  <c r="D144" i="96"/>
  <c r="D145" i="96" s="1"/>
  <c r="F143" i="96"/>
  <c r="F141" i="96"/>
  <c r="D138" i="96"/>
  <c r="F136" i="96"/>
  <c r="F135" i="96"/>
  <c r="E132" i="96"/>
  <c r="E130" i="96"/>
  <c r="H128" i="96"/>
  <c r="G128" i="96"/>
  <c r="F128" i="96"/>
  <c r="E128" i="96"/>
  <c r="D128" i="96"/>
  <c r="C128" i="96"/>
  <c r="B128" i="96"/>
  <c r="B125" i="96"/>
  <c r="F122" i="96"/>
  <c r="F121" i="96"/>
  <c r="D121" i="96"/>
  <c r="F120" i="96"/>
  <c r="D118" i="96"/>
  <c r="D116" i="96"/>
  <c r="D117" i="96" s="1"/>
  <c r="D113" i="96"/>
  <c r="D114" i="96" s="1"/>
  <c r="F112" i="96"/>
  <c r="F110" i="96"/>
  <c r="D107" i="96"/>
  <c r="D108" i="96" s="1"/>
  <c r="D111" i="96" s="1"/>
  <c r="F111" i="96" s="1"/>
  <c r="F105" i="96"/>
  <c r="F104" i="96"/>
  <c r="E101" i="96"/>
  <c r="E99" i="96"/>
  <c r="H97" i="96"/>
  <c r="G97" i="96"/>
  <c r="F97" i="96"/>
  <c r="E97" i="96"/>
  <c r="D97" i="96"/>
  <c r="C97" i="96"/>
  <c r="B97" i="96"/>
  <c r="B94" i="96"/>
  <c r="F91" i="96"/>
  <c r="F90" i="96"/>
  <c r="D90" i="96"/>
  <c r="F89" i="96"/>
  <c r="D87" i="96"/>
  <c r="D85" i="96"/>
  <c r="D86" i="96" s="1"/>
  <c r="D82" i="96"/>
  <c r="D83" i="96" s="1"/>
  <c r="F81" i="96"/>
  <c r="F79" i="96"/>
  <c r="D76" i="96"/>
  <c r="F74" i="96"/>
  <c r="F73" i="96"/>
  <c r="E70" i="96"/>
  <c r="E68" i="96"/>
  <c r="H66" i="96"/>
  <c r="G66" i="96"/>
  <c r="F66" i="96"/>
  <c r="E66" i="96"/>
  <c r="D66" i="96"/>
  <c r="C66" i="96"/>
  <c r="B66" i="96"/>
  <c r="B63" i="96"/>
  <c r="F60" i="96"/>
  <c r="F59" i="96"/>
  <c r="D59" i="96"/>
  <c r="F58" i="96"/>
  <c r="D56" i="96"/>
  <c r="D54" i="96"/>
  <c r="D55" i="96" s="1"/>
  <c r="D51" i="96"/>
  <c r="D52" i="96" s="1"/>
  <c r="F50" i="96"/>
  <c r="F48" i="96"/>
  <c r="D45" i="96"/>
  <c r="F43" i="96"/>
  <c r="F42" i="96"/>
  <c r="E39" i="96"/>
  <c r="E37" i="96"/>
  <c r="H35" i="96"/>
  <c r="G35" i="96"/>
  <c r="F35" i="96"/>
  <c r="E35" i="96"/>
  <c r="D35" i="96"/>
  <c r="C35" i="96"/>
  <c r="B35" i="96"/>
  <c r="B32" i="96"/>
  <c r="D32" i="34"/>
  <c r="D25" i="96"/>
  <c r="D28" i="96"/>
  <c r="F28" i="96" s="1"/>
  <c r="F191" i="34"/>
  <c r="D191" i="34"/>
  <c r="F152" i="34"/>
  <c r="D152" i="34"/>
  <c r="F113" i="34"/>
  <c r="D113" i="34"/>
  <c r="F74" i="34"/>
  <c r="D74" i="34"/>
  <c r="F35" i="34"/>
  <c r="D35" i="34"/>
  <c r="E124" i="86"/>
  <c r="E96" i="86"/>
  <c r="E68" i="86"/>
  <c r="E40" i="86"/>
  <c r="E12" i="86"/>
  <c r="F24" i="59"/>
  <c r="E12" i="92"/>
  <c r="F153" i="38"/>
  <c r="F122" i="38"/>
  <c r="F91" i="38"/>
  <c r="F60" i="38"/>
  <c r="F29" i="38"/>
  <c r="F168" i="41"/>
  <c r="F134" i="41"/>
  <c r="F100" i="41"/>
  <c r="F66" i="41"/>
  <c r="F150" i="41"/>
  <c r="F116" i="41"/>
  <c r="F82" i="41"/>
  <c r="F48" i="41"/>
  <c r="F14" i="41"/>
  <c r="D4" i="28"/>
  <c r="D121" i="55"/>
  <c r="D123" i="55" s="1"/>
  <c r="E119" i="55"/>
  <c r="E118" i="55"/>
  <c r="E117" i="55"/>
  <c r="E116" i="55"/>
  <c r="E115" i="55"/>
  <c r="E114" i="55"/>
  <c r="E111" i="55"/>
  <c r="E109" i="55"/>
  <c r="E108" i="55"/>
  <c r="E107" i="55"/>
  <c r="H104" i="55"/>
  <c r="F104" i="55"/>
  <c r="E104" i="55"/>
  <c r="D104" i="55"/>
  <c r="C104" i="55"/>
  <c r="B104" i="55"/>
  <c r="D106" i="55" s="1"/>
  <c r="E106" i="55" s="1"/>
  <c r="B101" i="55"/>
  <c r="D96" i="55"/>
  <c r="D98" i="55" s="1"/>
  <c r="E94" i="55"/>
  <c r="E93" i="55"/>
  <c r="E92" i="55"/>
  <c r="E90" i="55"/>
  <c r="E89" i="55"/>
  <c r="E86" i="55"/>
  <c r="E84" i="55"/>
  <c r="E83" i="55"/>
  <c r="E82" i="55"/>
  <c r="H79" i="55"/>
  <c r="F79" i="55"/>
  <c r="E79" i="55"/>
  <c r="D79" i="55"/>
  <c r="C79" i="55"/>
  <c r="B79" i="55"/>
  <c r="D81" i="55" s="1"/>
  <c r="E81" i="55" s="1"/>
  <c r="B76" i="55"/>
  <c r="D71" i="55"/>
  <c r="D73" i="55" s="1"/>
  <c r="E69" i="55"/>
  <c r="E68" i="55"/>
  <c r="E67" i="55"/>
  <c r="E65" i="55"/>
  <c r="E64" i="55"/>
  <c r="E61" i="55"/>
  <c r="E59" i="55"/>
  <c r="E58" i="55"/>
  <c r="E57" i="55"/>
  <c r="H54" i="55"/>
  <c r="F54" i="55"/>
  <c r="E54" i="55"/>
  <c r="D54" i="55"/>
  <c r="C54" i="55"/>
  <c r="B54" i="55"/>
  <c r="D56" i="55" s="1"/>
  <c r="E56" i="55" s="1"/>
  <c r="B51" i="55"/>
  <c r="D46" i="55"/>
  <c r="D48" i="55" s="1"/>
  <c r="E44" i="55"/>
  <c r="E43" i="55"/>
  <c r="E42" i="55"/>
  <c r="E40" i="55"/>
  <c r="E39" i="55"/>
  <c r="E36" i="55"/>
  <c r="E34" i="55"/>
  <c r="E33" i="55"/>
  <c r="E32" i="55"/>
  <c r="H29" i="55"/>
  <c r="F29" i="55"/>
  <c r="E29" i="55"/>
  <c r="D29" i="55"/>
  <c r="C29" i="55"/>
  <c r="B29" i="55"/>
  <c r="D31" i="55" s="1"/>
  <c r="E31" i="55" s="1"/>
  <c r="B26" i="55"/>
  <c r="G4" i="55"/>
  <c r="H4" i="55"/>
  <c r="F4" i="55"/>
  <c r="E4" i="55"/>
  <c r="D4" i="55"/>
  <c r="C4" i="55"/>
  <c r="B4" i="55"/>
  <c r="E17" i="55"/>
  <c r="D4" i="38"/>
  <c r="H4" i="38"/>
  <c r="E106" i="75"/>
  <c r="E105" i="75"/>
  <c r="E82" i="75"/>
  <c r="E81" i="75"/>
  <c r="E58" i="75"/>
  <c r="E57" i="75"/>
  <c r="E34" i="75"/>
  <c r="E33" i="75"/>
  <c r="E10" i="75"/>
  <c r="E9" i="75"/>
  <c r="E121" i="76"/>
  <c r="E93" i="76"/>
  <c r="E65" i="76"/>
  <c r="E37" i="76"/>
  <c r="E9" i="76"/>
  <c r="C68" i="52"/>
  <c r="H67" i="52"/>
  <c r="H69" i="52" s="1"/>
  <c r="H64" i="52"/>
  <c r="H63" i="52"/>
  <c r="H62" i="52"/>
  <c r="H61" i="52"/>
  <c r="B59" i="52"/>
  <c r="C54" i="52"/>
  <c r="H53" i="52"/>
  <c r="H55" i="52" s="1"/>
  <c r="H50" i="52"/>
  <c r="H49" i="52"/>
  <c r="H48" i="52"/>
  <c r="H47" i="52"/>
  <c r="B45" i="52"/>
  <c r="C40" i="52"/>
  <c r="H39" i="52"/>
  <c r="H41" i="52" s="1"/>
  <c r="H36" i="52"/>
  <c r="H35" i="52"/>
  <c r="H34" i="52"/>
  <c r="H33" i="52"/>
  <c r="B31" i="52"/>
  <c r="C26" i="52"/>
  <c r="H25" i="52"/>
  <c r="H27" i="52" s="1"/>
  <c r="H22" i="52"/>
  <c r="H21" i="52"/>
  <c r="H20" i="52"/>
  <c r="H19" i="52"/>
  <c r="B17" i="52"/>
  <c r="C12" i="52"/>
  <c r="H11" i="52"/>
  <c r="E25" i="85"/>
  <c r="H25" i="85" s="1"/>
  <c r="E137" i="85"/>
  <c r="H137" i="85" s="1"/>
  <c r="E109" i="85"/>
  <c r="H109" i="85" s="1"/>
  <c r="E81" i="85"/>
  <c r="H81" i="85" s="1"/>
  <c r="E53" i="85"/>
  <c r="H53" i="85" s="1"/>
  <c r="E128" i="82"/>
  <c r="H128" i="82" s="1"/>
  <c r="E102" i="82"/>
  <c r="H102" i="82" s="1"/>
  <c r="E76" i="82"/>
  <c r="H76" i="82" s="1"/>
  <c r="E50" i="82"/>
  <c r="H50" i="82" s="1"/>
  <c r="E24" i="82"/>
  <c r="H24" i="82" s="1"/>
  <c r="E138" i="76"/>
  <c r="E110" i="76"/>
  <c r="E82" i="76"/>
  <c r="E54" i="76"/>
  <c r="E26" i="76"/>
  <c r="D130" i="84"/>
  <c r="D128" i="84"/>
  <c r="E123" i="84"/>
  <c r="E122" i="84"/>
  <c r="E121" i="84"/>
  <c r="E120" i="84"/>
  <c r="E114" i="84"/>
  <c r="H112" i="84"/>
  <c r="F112" i="84"/>
  <c r="E112" i="84"/>
  <c r="D112" i="84"/>
  <c r="C112" i="84"/>
  <c r="B112" i="84"/>
  <c r="D117" i="84" s="1"/>
  <c r="E117" i="84" s="1"/>
  <c r="B109" i="84"/>
  <c r="D103" i="84"/>
  <c r="D101" i="84"/>
  <c r="E96" i="84"/>
  <c r="E95" i="84"/>
  <c r="E94" i="84"/>
  <c r="E93" i="84"/>
  <c r="E87" i="84"/>
  <c r="H85" i="84"/>
  <c r="F85" i="84"/>
  <c r="E85" i="84"/>
  <c r="D85" i="84"/>
  <c r="C85" i="84"/>
  <c r="B85" i="84"/>
  <c r="D90" i="84" s="1"/>
  <c r="E90" i="84" s="1"/>
  <c r="B82" i="84"/>
  <c r="D76" i="84"/>
  <c r="D74" i="84"/>
  <c r="E69" i="84"/>
  <c r="E68" i="84"/>
  <c r="E67" i="84"/>
  <c r="E66" i="84"/>
  <c r="E60" i="84"/>
  <c r="H58" i="84"/>
  <c r="F58" i="84"/>
  <c r="E58" i="84"/>
  <c r="D58" i="84"/>
  <c r="C58" i="84"/>
  <c r="B58" i="84"/>
  <c r="D63" i="84" s="1"/>
  <c r="E63" i="84" s="1"/>
  <c r="B55" i="84"/>
  <c r="D49" i="84"/>
  <c r="D47" i="84"/>
  <c r="E42" i="84"/>
  <c r="E41" i="84"/>
  <c r="E40" i="84"/>
  <c r="E39" i="84"/>
  <c r="E33" i="84"/>
  <c r="H31" i="84"/>
  <c r="F31" i="84"/>
  <c r="E31" i="84"/>
  <c r="D31" i="84"/>
  <c r="C31" i="84"/>
  <c r="B31" i="84"/>
  <c r="D36" i="84" s="1"/>
  <c r="E36" i="84" s="1"/>
  <c r="B28" i="84"/>
  <c r="D22" i="84"/>
  <c r="F188" i="41" l="1"/>
  <c r="K1" i="55"/>
  <c r="E139" i="82"/>
  <c r="K1" i="52"/>
  <c r="K2" i="55"/>
  <c r="K3" i="73"/>
  <c r="E187" i="76"/>
  <c r="E192" i="76" s="1"/>
  <c r="K4" i="36"/>
  <c r="D257" i="34"/>
  <c r="F376" i="34"/>
  <c r="O5" i="86"/>
  <c r="D218" i="34"/>
  <c r="E217" i="82"/>
  <c r="N4" i="75"/>
  <c r="K4" i="96"/>
  <c r="E191" i="82"/>
  <c r="O4" i="66"/>
  <c r="O4" i="85"/>
  <c r="E235" i="74"/>
  <c r="E240" i="74" s="1"/>
  <c r="E262" i="74"/>
  <c r="E267" i="74" s="1"/>
  <c r="O4" i="83"/>
  <c r="O4" i="87"/>
  <c r="N4" i="76"/>
  <c r="N4" i="82"/>
  <c r="K4" i="34"/>
  <c r="F298" i="34"/>
  <c r="O4" i="59"/>
  <c r="O4" i="86"/>
  <c r="K5" i="34"/>
  <c r="O4" i="84"/>
  <c r="O5" i="85"/>
  <c r="K5" i="97"/>
  <c r="K4" i="38"/>
  <c r="E215" i="76"/>
  <c r="E220" i="76" s="1"/>
  <c r="E243" i="82"/>
  <c r="E243" i="76"/>
  <c r="E248" i="76" s="1"/>
  <c r="E165" i="82"/>
  <c r="E181" i="74"/>
  <c r="E186" i="74" s="1"/>
  <c r="E150" i="76"/>
  <c r="D335" i="34"/>
  <c r="D264" i="96"/>
  <c r="D233" i="96"/>
  <c r="D202" i="96"/>
  <c r="D171" i="96"/>
  <c r="E262" i="76"/>
  <c r="F324" i="41"/>
  <c r="F256" i="41"/>
  <c r="F222" i="41"/>
  <c r="E208" i="74"/>
  <c r="E213" i="74" s="1"/>
  <c r="E154" i="74"/>
  <c r="E159" i="74" s="1"/>
  <c r="E190" i="72"/>
  <c r="E192" i="72" s="1"/>
  <c r="E274" i="72"/>
  <c r="E276" i="72" s="1"/>
  <c r="E204" i="92"/>
  <c r="E155" i="92"/>
  <c r="E106" i="92"/>
  <c r="E58" i="92"/>
  <c r="F81" i="92"/>
  <c r="F126" i="92"/>
  <c r="F83" i="92"/>
  <c r="F175" i="92"/>
  <c r="F84" i="92"/>
  <c r="F224" i="92"/>
  <c r="F130" i="92"/>
  <c r="F131" i="92"/>
  <c r="F132" i="92"/>
  <c r="F129" i="92"/>
  <c r="F179" i="92"/>
  <c r="F69" i="92"/>
  <c r="F178" i="92"/>
  <c r="F180" i="92"/>
  <c r="F227" i="92"/>
  <c r="F181" i="92"/>
  <c r="F228" i="92"/>
  <c r="F215" i="92"/>
  <c r="F229" i="92"/>
  <c r="F78" i="92"/>
  <c r="D127" i="59"/>
  <c r="D77" i="84"/>
  <c r="D79" i="84" s="1"/>
  <c r="F79" i="84" s="1"/>
  <c r="D131" i="84"/>
  <c r="D133" i="84" s="1"/>
  <c r="F133" i="84" s="1"/>
  <c r="D104" i="84"/>
  <c r="D106" i="84" s="1"/>
  <c r="F106" i="84" s="1"/>
  <c r="E35" i="59"/>
  <c r="E61" i="59"/>
  <c r="E87" i="59"/>
  <c r="E113" i="59"/>
  <c r="D75" i="59"/>
  <c r="D101" i="59"/>
  <c r="D49" i="59"/>
  <c r="C135" i="74"/>
  <c r="D69" i="96"/>
  <c r="E69" i="96" s="1"/>
  <c r="C108" i="74"/>
  <c r="D100" i="96"/>
  <c r="E100" i="96" s="1"/>
  <c r="D38" i="96"/>
  <c r="E38" i="96" s="1"/>
  <c r="E46" i="74"/>
  <c r="E51" i="74" s="1"/>
  <c r="C81" i="74"/>
  <c r="D131" i="96"/>
  <c r="E131" i="96" s="1"/>
  <c r="D139" i="96"/>
  <c r="D142" i="96" s="1"/>
  <c r="F142" i="96" s="1"/>
  <c r="D109" i="96"/>
  <c r="D77" i="96"/>
  <c r="D80" i="96" s="1"/>
  <c r="F80" i="96" s="1"/>
  <c r="D46" i="96"/>
  <c r="D49" i="96" s="1"/>
  <c r="F49" i="96" s="1"/>
  <c r="D50" i="84"/>
  <c r="D52" i="84" s="1"/>
  <c r="F52" i="84" s="1"/>
  <c r="D20" i="84"/>
  <c r="D23" i="84" s="1"/>
  <c r="D25" i="84" s="1"/>
  <c r="F25" i="84" s="1"/>
  <c r="D140" i="96" l="1"/>
  <c r="D78" i="96"/>
  <c r="D47" i="96"/>
  <c r="D29" i="98"/>
  <c r="D27" i="98"/>
  <c r="F93" i="97"/>
  <c r="E87" i="97"/>
  <c r="E86" i="97"/>
  <c r="E85" i="97"/>
  <c r="E84" i="97"/>
  <c r="E83" i="97"/>
  <c r="E82" i="97"/>
  <c r="H80" i="97"/>
  <c r="G80" i="97"/>
  <c r="F80" i="97"/>
  <c r="E80" i="97"/>
  <c r="D80" i="97"/>
  <c r="C80" i="97"/>
  <c r="B80" i="97"/>
  <c r="B77" i="97"/>
  <c r="F74" i="97"/>
  <c r="E68" i="97"/>
  <c r="E67" i="97"/>
  <c r="E66" i="97"/>
  <c r="E65" i="97"/>
  <c r="E64" i="97"/>
  <c r="E63" i="97"/>
  <c r="H61" i="97"/>
  <c r="G61" i="97"/>
  <c r="F61" i="97"/>
  <c r="E61" i="97"/>
  <c r="D61" i="97"/>
  <c r="C61" i="97"/>
  <c r="B61" i="97"/>
  <c r="B58" i="97"/>
  <c r="F55" i="97"/>
  <c r="E49" i="97"/>
  <c r="E48" i="97"/>
  <c r="E47" i="97"/>
  <c r="E46" i="97"/>
  <c r="E45" i="97"/>
  <c r="E44" i="97"/>
  <c r="H42" i="97"/>
  <c r="G42" i="97"/>
  <c r="F42" i="97"/>
  <c r="E42" i="97"/>
  <c r="D42" i="97"/>
  <c r="C42" i="97"/>
  <c r="B42" i="97"/>
  <c r="B39" i="97"/>
  <c r="F36" i="97"/>
  <c r="E30" i="97"/>
  <c r="E29" i="97"/>
  <c r="E28" i="97"/>
  <c r="E27" i="97"/>
  <c r="E26" i="97"/>
  <c r="E25" i="97"/>
  <c r="H23" i="97"/>
  <c r="G23" i="97"/>
  <c r="F23" i="97"/>
  <c r="E23" i="97"/>
  <c r="D23" i="97"/>
  <c r="C23" i="97"/>
  <c r="B23" i="97"/>
  <c r="B20" i="97"/>
  <c r="F17" i="97"/>
  <c r="F29" i="96"/>
  <c r="F27" i="96"/>
  <c r="D23" i="96"/>
  <c r="D24" i="96" s="1"/>
  <c r="D20" i="96"/>
  <c r="D21" i="96" s="1"/>
  <c r="F19" i="96"/>
  <c r="D14" i="96"/>
  <c r="F12" i="96"/>
  <c r="F11" i="96"/>
  <c r="F75" i="34"/>
  <c r="F36" i="34"/>
  <c r="D60" i="34"/>
  <c r="F192" i="34"/>
  <c r="F190" i="34"/>
  <c r="D188" i="34"/>
  <c r="D186" i="34"/>
  <c r="D187" i="34" s="1"/>
  <c r="D183" i="34"/>
  <c r="D184" i="34" s="1"/>
  <c r="F182" i="34"/>
  <c r="F180" i="34"/>
  <c r="D177" i="34"/>
  <c r="D178" i="34" s="1"/>
  <c r="D181" i="34" s="1"/>
  <c r="F175" i="34"/>
  <c r="F174" i="34"/>
  <c r="E171" i="34"/>
  <c r="E170" i="34"/>
  <c r="E169" i="34"/>
  <c r="E168" i="34"/>
  <c r="E167" i="34"/>
  <c r="E166" i="34"/>
  <c r="E164" i="34"/>
  <c r="E163" i="34"/>
  <c r="H160" i="34"/>
  <c r="G160" i="34"/>
  <c r="F160" i="34"/>
  <c r="F181" i="34" s="1"/>
  <c r="E160" i="34"/>
  <c r="D160" i="34"/>
  <c r="C160" i="34"/>
  <c r="B160" i="34"/>
  <c r="B157" i="34"/>
  <c r="F153" i="34"/>
  <c r="F151" i="34"/>
  <c r="D149" i="34"/>
  <c r="D147" i="34"/>
  <c r="D148" i="34" s="1"/>
  <c r="D144" i="34"/>
  <c r="D145" i="34" s="1"/>
  <c r="F143" i="34"/>
  <c r="F141" i="34"/>
  <c r="D138" i="34"/>
  <c r="D139" i="34" s="1"/>
  <c r="D142" i="34" s="1"/>
  <c r="F136" i="34"/>
  <c r="F135" i="34"/>
  <c r="E132" i="34"/>
  <c r="E131" i="34"/>
  <c r="E130" i="34"/>
  <c r="E129" i="34"/>
  <c r="E128" i="34"/>
  <c r="E127" i="34"/>
  <c r="E125" i="34"/>
  <c r="E124" i="34"/>
  <c r="H121" i="34"/>
  <c r="G121" i="34"/>
  <c r="F121" i="34"/>
  <c r="F142" i="34" s="1"/>
  <c r="E121" i="34"/>
  <c r="D121" i="34"/>
  <c r="C121" i="34"/>
  <c r="B121" i="34"/>
  <c r="B118" i="34"/>
  <c r="F114" i="34"/>
  <c r="F112" i="34"/>
  <c r="D110" i="34"/>
  <c r="D108" i="34"/>
  <c r="D109" i="34" s="1"/>
  <c r="D105" i="34"/>
  <c r="D106" i="34" s="1"/>
  <c r="F104" i="34"/>
  <c r="F102" i="34"/>
  <c r="D100" i="34"/>
  <c r="D103" i="34" s="1"/>
  <c r="D99" i="34"/>
  <c r="F97" i="34"/>
  <c r="F96" i="34"/>
  <c r="E93" i="34"/>
  <c r="E92" i="34"/>
  <c r="E91" i="34"/>
  <c r="E90" i="34"/>
  <c r="E89" i="34"/>
  <c r="E88" i="34"/>
  <c r="E86" i="34"/>
  <c r="E85" i="34"/>
  <c r="H82" i="34"/>
  <c r="G82" i="34"/>
  <c r="F82" i="34"/>
  <c r="F103" i="34" s="1"/>
  <c r="E82" i="34"/>
  <c r="D82" i="34"/>
  <c r="C82" i="34"/>
  <c r="B82" i="34"/>
  <c r="B79" i="34"/>
  <c r="F73" i="34"/>
  <c r="D71" i="34"/>
  <c r="D69" i="34"/>
  <c r="D70" i="34" s="1"/>
  <c r="D66" i="34"/>
  <c r="D67" i="34" s="1"/>
  <c r="F65" i="34"/>
  <c r="F63" i="34"/>
  <c r="D61" i="34"/>
  <c r="D64" i="34" s="1"/>
  <c r="F58" i="34"/>
  <c r="F57" i="34"/>
  <c r="E54" i="34"/>
  <c r="E53" i="34"/>
  <c r="E52" i="34"/>
  <c r="E51" i="34"/>
  <c r="E50" i="34"/>
  <c r="E49" i="34"/>
  <c r="E47" i="34"/>
  <c r="E46" i="34"/>
  <c r="H43" i="34"/>
  <c r="G43" i="34"/>
  <c r="F43" i="34"/>
  <c r="F64" i="34" s="1"/>
  <c r="E43" i="34"/>
  <c r="D43" i="34"/>
  <c r="C43" i="34"/>
  <c r="B43" i="34"/>
  <c r="B40" i="34"/>
  <c r="D30" i="34"/>
  <c r="D31" i="34" s="1"/>
  <c r="D21" i="34"/>
  <c r="D136" i="86"/>
  <c r="E131" i="86"/>
  <c r="E130" i="86"/>
  <c r="E127" i="86"/>
  <c r="E126" i="86"/>
  <c r="E125" i="86"/>
  <c r="E123" i="86"/>
  <c r="E122" i="86"/>
  <c r="E121" i="86"/>
  <c r="E120" i="86"/>
  <c r="E119" i="86"/>
  <c r="H116" i="86"/>
  <c r="G116" i="86"/>
  <c r="F116" i="86"/>
  <c r="E116" i="86"/>
  <c r="D116" i="86"/>
  <c r="C116" i="86"/>
  <c r="B116" i="86"/>
  <c r="B113" i="86"/>
  <c r="D108" i="86"/>
  <c r="E103" i="86"/>
  <c r="E102" i="86"/>
  <c r="E99" i="86"/>
  <c r="E98" i="86"/>
  <c r="E97" i="86"/>
  <c r="E95" i="86"/>
  <c r="E94" i="86"/>
  <c r="E93" i="86"/>
  <c r="E92" i="86"/>
  <c r="E91" i="86"/>
  <c r="H88" i="86"/>
  <c r="G88" i="86"/>
  <c r="F88" i="86"/>
  <c r="E88" i="86"/>
  <c r="D88" i="86"/>
  <c r="C88" i="86"/>
  <c r="B88" i="86"/>
  <c r="B85" i="86"/>
  <c r="D80" i="86"/>
  <c r="E75" i="86"/>
  <c r="E74" i="86"/>
  <c r="E71" i="86"/>
  <c r="E70" i="86"/>
  <c r="E69" i="86"/>
  <c r="E67" i="86"/>
  <c r="E66" i="86"/>
  <c r="E65" i="86"/>
  <c r="E64" i="86"/>
  <c r="E63" i="86"/>
  <c r="H60" i="86"/>
  <c r="G60" i="86"/>
  <c r="F60" i="86"/>
  <c r="E60" i="86"/>
  <c r="D60" i="86"/>
  <c r="C60" i="86"/>
  <c r="B60" i="86"/>
  <c r="B57" i="86"/>
  <c r="D52" i="86"/>
  <c r="E47" i="86"/>
  <c r="E46" i="86"/>
  <c r="E43" i="86"/>
  <c r="E42" i="86"/>
  <c r="E41" i="86"/>
  <c r="E39" i="86"/>
  <c r="E38" i="86"/>
  <c r="E37" i="86"/>
  <c r="E36" i="86"/>
  <c r="E35" i="86"/>
  <c r="H32" i="86"/>
  <c r="G32" i="86"/>
  <c r="F32" i="86"/>
  <c r="E32" i="86"/>
  <c r="D32" i="86"/>
  <c r="C32" i="86"/>
  <c r="B32" i="86"/>
  <c r="B29" i="86"/>
  <c r="D24" i="86"/>
  <c r="F25" i="86" s="1"/>
  <c r="G106" i="41"/>
  <c r="G140" i="41"/>
  <c r="G38" i="41"/>
  <c r="G4" i="41"/>
  <c r="D31" i="41"/>
  <c r="F31" i="41" s="1"/>
  <c r="D27" i="41"/>
  <c r="D28" i="41" s="1"/>
  <c r="D24" i="41"/>
  <c r="D25" i="41" s="1"/>
  <c r="F22" i="41"/>
  <c r="D17" i="41"/>
  <c r="D18" i="41" s="1"/>
  <c r="F12" i="41"/>
  <c r="E8" i="41"/>
  <c r="H4" i="41"/>
  <c r="F4" i="41"/>
  <c r="E4" i="41"/>
  <c r="D4" i="41"/>
  <c r="C4" i="41"/>
  <c r="B4" i="41"/>
  <c r="B1" i="41"/>
  <c r="D65" i="41"/>
  <c r="F65" i="41" s="1"/>
  <c r="D61" i="41"/>
  <c r="D62" i="41" s="1"/>
  <c r="D58" i="41"/>
  <c r="D59" i="41" s="1"/>
  <c r="F56" i="41"/>
  <c r="F55" i="41"/>
  <c r="D52" i="41"/>
  <c r="F52" i="41" s="1"/>
  <c r="D49" i="41"/>
  <c r="D51" i="41" s="1"/>
  <c r="F46" i="41"/>
  <c r="E42" i="41"/>
  <c r="H38" i="41"/>
  <c r="F38" i="41"/>
  <c r="E38" i="41"/>
  <c r="D38" i="41"/>
  <c r="C38" i="41"/>
  <c r="B38" i="41"/>
  <c r="D41" i="41" s="1"/>
  <c r="B35" i="41"/>
  <c r="D167" i="41"/>
  <c r="F167" i="41" s="1"/>
  <c r="D163" i="41"/>
  <c r="D164" i="41" s="1"/>
  <c r="D160" i="41"/>
  <c r="D161" i="41" s="1"/>
  <c r="F158" i="41"/>
  <c r="F157" i="41"/>
  <c r="D154" i="41"/>
  <c r="F154" i="41" s="1"/>
  <c r="D151" i="41"/>
  <c r="D153" i="41" s="1"/>
  <c r="F148" i="41"/>
  <c r="E144" i="41"/>
  <c r="H140" i="41"/>
  <c r="F140" i="41"/>
  <c r="E140" i="41"/>
  <c r="D140" i="41"/>
  <c r="C140" i="41"/>
  <c r="B140" i="41"/>
  <c r="D143" i="41" s="1"/>
  <c r="B137" i="41"/>
  <c r="D133" i="41"/>
  <c r="F133" i="41" s="1"/>
  <c r="D129" i="41"/>
  <c r="D130" i="41" s="1"/>
  <c r="D126" i="41"/>
  <c r="D127" i="41" s="1"/>
  <c r="F124" i="41"/>
  <c r="F122" i="41"/>
  <c r="D120" i="41"/>
  <c r="F120" i="41" s="1"/>
  <c r="D117" i="41"/>
  <c r="D119" i="41" s="1"/>
  <c r="F114" i="41"/>
  <c r="E110" i="41"/>
  <c r="H106" i="41"/>
  <c r="F106" i="41"/>
  <c r="E106" i="41"/>
  <c r="D106" i="41"/>
  <c r="C106" i="41"/>
  <c r="B106" i="41"/>
  <c r="D109" i="41" s="1"/>
  <c r="B103" i="41"/>
  <c r="D99" i="41"/>
  <c r="F99" i="41" s="1"/>
  <c r="D92" i="41"/>
  <c r="D93" i="41" s="1"/>
  <c r="F89" i="41"/>
  <c r="D86" i="41"/>
  <c r="F86" i="41" s="1"/>
  <c r="F90" i="41"/>
  <c r="D95" i="41"/>
  <c r="D96" i="41" s="1"/>
  <c r="D83" i="41"/>
  <c r="D85" i="41" s="1"/>
  <c r="D118" i="87"/>
  <c r="F118" i="87" s="1"/>
  <c r="F115" i="87"/>
  <c r="E109" i="87"/>
  <c r="E108" i="87"/>
  <c r="E102" i="87"/>
  <c r="H100" i="87"/>
  <c r="F100" i="87"/>
  <c r="D112" i="87" s="1"/>
  <c r="D114" i="87" s="1"/>
  <c r="E100" i="87"/>
  <c r="D100" i="87"/>
  <c r="C100" i="87"/>
  <c r="B100" i="87"/>
  <c r="D105" i="87" s="1"/>
  <c r="E105" i="87" s="1"/>
  <c r="B97" i="87"/>
  <c r="D94" i="87"/>
  <c r="F94" i="87" s="1"/>
  <c r="F91" i="87"/>
  <c r="E85" i="87"/>
  <c r="E84" i="87"/>
  <c r="E78" i="87"/>
  <c r="H76" i="87"/>
  <c r="F76" i="87"/>
  <c r="D88" i="87" s="1"/>
  <c r="D90" i="87" s="1"/>
  <c r="E76" i="87"/>
  <c r="D76" i="87"/>
  <c r="C76" i="87"/>
  <c r="B76" i="87"/>
  <c r="D81" i="87" s="1"/>
  <c r="E81" i="87" s="1"/>
  <c r="B73" i="87"/>
  <c r="D70" i="87"/>
  <c r="F70" i="87" s="1"/>
  <c r="F67" i="87"/>
  <c r="E61" i="87"/>
  <c r="E60" i="87"/>
  <c r="E54" i="87"/>
  <c r="H52" i="87"/>
  <c r="F52" i="87"/>
  <c r="D64" i="87" s="1"/>
  <c r="D66" i="87" s="1"/>
  <c r="E52" i="87"/>
  <c r="D52" i="87"/>
  <c r="C52" i="87"/>
  <c r="B52" i="87"/>
  <c r="D57" i="87" s="1"/>
  <c r="E57" i="87" s="1"/>
  <c r="B49" i="87"/>
  <c r="D46" i="87"/>
  <c r="F46" i="87" s="1"/>
  <c r="F43" i="87"/>
  <c r="E37" i="87"/>
  <c r="E36" i="87"/>
  <c r="E30" i="87"/>
  <c r="H28" i="87"/>
  <c r="F28" i="87"/>
  <c r="D40" i="87" s="1"/>
  <c r="D42" i="87" s="1"/>
  <c r="E28" i="87"/>
  <c r="D28" i="87"/>
  <c r="C28" i="87"/>
  <c r="B28" i="87"/>
  <c r="D33" i="87" s="1"/>
  <c r="E33" i="87" s="1"/>
  <c r="B25" i="87"/>
  <c r="F19" i="87"/>
  <c r="B4" i="86"/>
  <c r="F4" i="86"/>
  <c r="G4" i="86"/>
  <c r="E20" i="36"/>
  <c r="E41" i="36"/>
  <c r="E62" i="36"/>
  <c r="E83" i="36"/>
  <c r="E104" i="36"/>
  <c r="E210" i="95"/>
  <c r="E161" i="95"/>
  <c r="E112" i="95"/>
  <c r="E63" i="95"/>
  <c r="E19" i="95"/>
  <c r="K39" i="95"/>
  <c r="K38" i="95"/>
  <c r="K37" i="95"/>
  <c r="K36" i="95"/>
  <c r="K35" i="95"/>
  <c r="K33" i="95"/>
  <c r="K32" i="95"/>
  <c r="K31" i="95"/>
  <c r="K30" i="95"/>
  <c r="K29" i="95"/>
  <c r="K27" i="95"/>
  <c r="K26" i="95"/>
  <c r="K25" i="95"/>
  <c r="K24" i="95"/>
  <c r="K23" i="95"/>
  <c r="P19" i="95"/>
  <c r="P18" i="95"/>
  <c r="P17" i="95"/>
  <c r="P16" i="95"/>
  <c r="P15" i="95"/>
  <c r="P13" i="95"/>
  <c r="P12" i="95"/>
  <c r="P11" i="95"/>
  <c r="P10" i="95"/>
  <c r="P9" i="95"/>
  <c r="P7" i="95"/>
  <c r="P6" i="95"/>
  <c r="P5" i="95"/>
  <c r="P4" i="95"/>
  <c r="P3" i="95"/>
  <c r="F221" i="95"/>
  <c r="E215" i="95"/>
  <c r="E214" i="95"/>
  <c r="E213" i="95"/>
  <c r="E212" i="95"/>
  <c r="E211" i="95"/>
  <c r="E209" i="95"/>
  <c r="E208" i="95"/>
  <c r="E207" i="95"/>
  <c r="E206" i="95"/>
  <c r="E205" i="95"/>
  <c r="E204" i="95"/>
  <c r="E203" i="95"/>
  <c r="E202" i="95"/>
  <c r="E201" i="95"/>
  <c r="E200" i="95"/>
  <c r="E199" i="95"/>
  <c r="H195" i="95"/>
  <c r="F195" i="95"/>
  <c r="E195" i="95"/>
  <c r="D195" i="95"/>
  <c r="C195" i="95"/>
  <c r="K13" i="95" s="1"/>
  <c r="B195" i="95"/>
  <c r="D198" i="95" s="1"/>
  <c r="E198" i="95" s="1"/>
  <c r="B192" i="95"/>
  <c r="F172" i="95"/>
  <c r="E166" i="95"/>
  <c r="E165" i="95"/>
  <c r="E164" i="95"/>
  <c r="E163" i="95"/>
  <c r="E162" i="95"/>
  <c r="E160" i="95"/>
  <c r="E159" i="95"/>
  <c r="E158" i="95"/>
  <c r="E157" i="95"/>
  <c r="E156" i="95"/>
  <c r="E154" i="95"/>
  <c r="E153" i="95"/>
  <c r="E152" i="95"/>
  <c r="E151" i="95"/>
  <c r="E150" i="95"/>
  <c r="E155" i="95" s="1"/>
  <c r="H146" i="95"/>
  <c r="F146" i="95"/>
  <c r="E146" i="95"/>
  <c r="D146" i="95"/>
  <c r="C146" i="95"/>
  <c r="K12" i="95" s="1"/>
  <c r="B146" i="95"/>
  <c r="D149" i="95" s="1"/>
  <c r="E149" i="95" s="1"/>
  <c r="B143" i="95"/>
  <c r="F123" i="95"/>
  <c r="E117" i="95"/>
  <c r="E116" i="95"/>
  <c r="E115" i="95"/>
  <c r="E114" i="95"/>
  <c r="E113" i="95"/>
  <c r="E111" i="95"/>
  <c r="E110" i="95"/>
  <c r="E109" i="95"/>
  <c r="E108" i="95"/>
  <c r="E107" i="95"/>
  <c r="E105" i="95"/>
  <c r="E104" i="95"/>
  <c r="E103" i="95"/>
  <c r="E102" i="95"/>
  <c r="E101" i="95"/>
  <c r="E106" i="95" s="1"/>
  <c r="H97" i="95"/>
  <c r="F97" i="95"/>
  <c r="E97" i="95"/>
  <c r="D97" i="95"/>
  <c r="C97" i="95"/>
  <c r="K11" i="95" s="1"/>
  <c r="B97" i="95"/>
  <c r="K5" i="95" s="1"/>
  <c r="B94" i="95"/>
  <c r="F74" i="95"/>
  <c r="E68" i="95"/>
  <c r="E67" i="95"/>
  <c r="E66" i="95"/>
  <c r="E65" i="95"/>
  <c r="E64" i="95"/>
  <c r="E62" i="95"/>
  <c r="E61" i="95"/>
  <c r="E60" i="95"/>
  <c r="E59" i="95"/>
  <c r="E58" i="95"/>
  <c r="E56" i="95"/>
  <c r="E55" i="95"/>
  <c r="E54" i="95"/>
  <c r="E53" i="95"/>
  <c r="E52" i="95"/>
  <c r="E57" i="95" s="1"/>
  <c r="H48" i="95"/>
  <c r="F48" i="95"/>
  <c r="E48" i="95"/>
  <c r="D48" i="95"/>
  <c r="C48" i="95"/>
  <c r="K10" i="95" s="1"/>
  <c r="B48" i="95"/>
  <c r="K4" i="95" s="1"/>
  <c r="B45" i="95"/>
  <c r="P38" i="92"/>
  <c r="P37" i="92"/>
  <c r="P36" i="92"/>
  <c r="P35" i="92"/>
  <c r="P32" i="92"/>
  <c r="P31" i="92"/>
  <c r="P30" i="92"/>
  <c r="P29" i="92"/>
  <c r="P28" i="92"/>
  <c r="P26" i="92"/>
  <c r="P25" i="92"/>
  <c r="P24" i="92"/>
  <c r="P23" i="92"/>
  <c r="P22" i="92"/>
  <c r="K38" i="92"/>
  <c r="K37" i="92"/>
  <c r="K36" i="92"/>
  <c r="K35" i="92"/>
  <c r="K32" i="92"/>
  <c r="K31" i="92"/>
  <c r="K30" i="92"/>
  <c r="K29" i="92"/>
  <c r="K28" i="92"/>
  <c r="K26" i="92"/>
  <c r="K25" i="92"/>
  <c r="K24" i="92"/>
  <c r="K23" i="92"/>
  <c r="K22" i="92"/>
  <c r="D20" i="41" l="1"/>
  <c r="F21" i="41" s="1"/>
  <c r="F18" i="41"/>
  <c r="D7" i="41"/>
  <c r="O2" i="86"/>
  <c r="D15" i="96"/>
  <c r="D18" i="96" s="1"/>
  <c r="F18" i="96" s="1"/>
  <c r="D73" i="95"/>
  <c r="D76" i="95"/>
  <c r="K16" i="95" s="1"/>
  <c r="D122" i="95"/>
  <c r="D125" i="95"/>
  <c r="K17" i="95" s="1"/>
  <c r="D171" i="95"/>
  <c r="D174" i="95"/>
  <c r="K18" i="95" s="1"/>
  <c r="D223" i="95"/>
  <c r="K19" i="95" s="1"/>
  <c r="D165" i="34"/>
  <c r="E165" i="34" s="1"/>
  <c r="D87" i="34"/>
  <c r="E87" i="34" s="1"/>
  <c r="D51" i="95"/>
  <c r="E51" i="95" s="1"/>
  <c r="D100" i="95"/>
  <c r="E100" i="95" s="1"/>
  <c r="D48" i="34"/>
  <c r="E48" i="34" s="1"/>
  <c r="D101" i="34"/>
  <c r="D30" i="98"/>
  <c r="E50" i="97"/>
  <c r="E88" i="97"/>
  <c r="E69" i="97"/>
  <c r="E31" i="97"/>
  <c r="D179" i="34"/>
  <c r="D126" i="34"/>
  <c r="E126" i="34" s="1"/>
  <c r="D140" i="34"/>
  <c r="D62" i="34"/>
  <c r="D54" i="41"/>
  <c r="E41" i="41"/>
  <c r="D88" i="41"/>
  <c r="D122" i="41"/>
  <c r="D156" i="41"/>
  <c r="E143" i="41"/>
  <c r="E109" i="41"/>
  <c r="K6" i="95"/>
  <c r="K7" i="95"/>
  <c r="D220" i="95"/>
  <c r="K34" i="95"/>
  <c r="G34" i="44" s="1"/>
  <c r="K28" i="95"/>
  <c r="E34" i="44" s="1"/>
  <c r="K22" i="95"/>
  <c r="D34" i="44" s="1"/>
  <c r="P14" i="95"/>
  <c r="G33" i="44" s="1"/>
  <c r="P8" i="95"/>
  <c r="E33" i="44" s="1"/>
  <c r="P2" i="95"/>
  <c r="D33" i="44" s="1"/>
  <c r="K19" i="92"/>
  <c r="K18" i="92"/>
  <c r="K17" i="92"/>
  <c r="K16" i="92"/>
  <c r="K13" i="92"/>
  <c r="K12" i="92"/>
  <c r="K11" i="92"/>
  <c r="K10" i="92"/>
  <c r="K9" i="92"/>
  <c r="K7" i="92"/>
  <c r="K6" i="92"/>
  <c r="K5" i="92"/>
  <c r="K4" i="92"/>
  <c r="K3" i="92"/>
  <c r="P19" i="92"/>
  <c r="P13" i="92"/>
  <c r="P18" i="92"/>
  <c r="P12" i="92"/>
  <c r="P17" i="92"/>
  <c r="P11" i="92"/>
  <c r="P16" i="92"/>
  <c r="P10" i="92"/>
  <c r="P27" i="92"/>
  <c r="E30" i="44" s="1"/>
  <c r="P21" i="92"/>
  <c r="D30" i="44" s="1"/>
  <c r="K27" i="92"/>
  <c r="E29" i="44" s="1"/>
  <c r="K21" i="92"/>
  <c r="D29" i="44" s="1"/>
  <c r="F178" i="94"/>
  <c r="F177" i="94"/>
  <c r="E173" i="94"/>
  <c r="E172" i="94"/>
  <c r="E171" i="94"/>
  <c r="E170" i="94"/>
  <c r="E169" i="94"/>
  <c r="E168" i="94"/>
  <c r="E167" i="94"/>
  <c r="E166" i="94"/>
  <c r="E165" i="94"/>
  <c r="E164" i="94"/>
  <c r="E163" i="94"/>
  <c r="E162" i="94"/>
  <c r="E161" i="94"/>
  <c r="E160" i="94"/>
  <c r="E159" i="94"/>
  <c r="E156" i="94"/>
  <c r="E155" i="94"/>
  <c r="E154" i="94"/>
  <c r="E153" i="94"/>
  <c r="E152" i="94"/>
  <c r="E151" i="94"/>
  <c r="E150" i="94"/>
  <c r="H148" i="94"/>
  <c r="F148" i="94"/>
  <c r="D180" i="94" s="1"/>
  <c r="E148" i="94"/>
  <c r="D148" i="94"/>
  <c r="C148" i="94"/>
  <c r="B148" i="94"/>
  <c r="D158" i="94" s="1"/>
  <c r="E158" i="94" s="1"/>
  <c r="B145" i="94"/>
  <c r="F142" i="94"/>
  <c r="F141" i="94"/>
  <c r="E137" i="94"/>
  <c r="E136" i="94"/>
  <c r="E135" i="94"/>
  <c r="E134" i="94"/>
  <c r="E133" i="94"/>
  <c r="E132" i="94"/>
  <c r="E131" i="94"/>
  <c r="E130" i="94"/>
  <c r="E129" i="94"/>
  <c r="E128" i="94"/>
  <c r="E127" i="94"/>
  <c r="E126" i="94"/>
  <c r="E125" i="94"/>
  <c r="E124" i="94"/>
  <c r="E123" i="94"/>
  <c r="E120" i="94"/>
  <c r="E119" i="94"/>
  <c r="E118" i="94"/>
  <c r="E117" i="94"/>
  <c r="E116" i="94"/>
  <c r="E115" i="94"/>
  <c r="E114" i="94"/>
  <c r="H112" i="94"/>
  <c r="F112" i="94"/>
  <c r="D144" i="94" s="1"/>
  <c r="E112" i="94"/>
  <c r="D112" i="94"/>
  <c r="C112" i="94"/>
  <c r="B112" i="94"/>
  <c r="D122" i="94" s="1"/>
  <c r="E122" i="94" s="1"/>
  <c r="B109" i="94"/>
  <c r="F106" i="94"/>
  <c r="F105" i="94"/>
  <c r="E101" i="94"/>
  <c r="E100" i="94"/>
  <c r="E99" i="94"/>
  <c r="E98" i="94"/>
  <c r="E97" i="94"/>
  <c r="E96" i="94"/>
  <c r="E95" i="94"/>
  <c r="E94" i="94"/>
  <c r="E93" i="94"/>
  <c r="E92" i="94"/>
  <c r="E91" i="94"/>
  <c r="E90" i="94"/>
  <c r="E89" i="94"/>
  <c r="E88" i="94"/>
  <c r="E87" i="94"/>
  <c r="E84" i="94"/>
  <c r="E83" i="94"/>
  <c r="E82" i="94"/>
  <c r="E81" i="94"/>
  <c r="E80" i="94"/>
  <c r="E79" i="94"/>
  <c r="E78" i="94"/>
  <c r="H76" i="94"/>
  <c r="F76" i="94"/>
  <c r="D108" i="94" s="1"/>
  <c r="E76" i="94"/>
  <c r="D76" i="94"/>
  <c r="C76" i="94"/>
  <c r="B76" i="94"/>
  <c r="D86" i="94" s="1"/>
  <c r="E86" i="94" s="1"/>
  <c r="B73" i="94"/>
  <c r="F70" i="94"/>
  <c r="F69" i="94"/>
  <c r="E65" i="94"/>
  <c r="E64" i="94"/>
  <c r="E63" i="94"/>
  <c r="E62" i="94"/>
  <c r="E61" i="94"/>
  <c r="E60" i="94"/>
  <c r="E59" i="94"/>
  <c r="E58" i="94"/>
  <c r="E57" i="94"/>
  <c r="E56" i="94"/>
  <c r="E55" i="94"/>
  <c r="E54" i="94"/>
  <c r="E53" i="94"/>
  <c r="E52" i="94"/>
  <c r="E51" i="94"/>
  <c r="E48" i="94"/>
  <c r="E47" i="94"/>
  <c r="E46" i="94"/>
  <c r="E45" i="94"/>
  <c r="E44" i="94"/>
  <c r="E43" i="94"/>
  <c r="E42" i="94"/>
  <c r="H40" i="94"/>
  <c r="F40" i="94"/>
  <c r="D72" i="94" s="1"/>
  <c r="E40" i="94"/>
  <c r="D40" i="94"/>
  <c r="C40" i="94"/>
  <c r="B40" i="94"/>
  <c r="D50" i="94" s="1"/>
  <c r="E50" i="94" s="1"/>
  <c r="B37" i="94"/>
  <c r="P39" i="90"/>
  <c r="P38" i="90"/>
  <c r="P37" i="90"/>
  <c r="P36" i="90"/>
  <c r="P35" i="90"/>
  <c r="P33" i="90"/>
  <c r="P32" i="90"/>
  <c r="P31" i="90"/>
  <c r="P30" i="90"/>
  <c r="P29" i="90"/>
  <c r="P26" i="90"/>
  <c r="P25" i="90"/>
  <c r="P24" i="90"/>
  <c r="P23" i="90"/>
  <c r="P27" i="90"/>
  <c r="K39" i="90"/>
  <c r="K38" i="90"/>
  <c r="K37" i="90"/>
  <c r="K36" i="90"/>
  <c r="K35" i="90"/>
  <c r="K33" i="90"/>
  <c r="K32" i="90"/>
  <c r="K31" i="90"/>
  <c r="K30" i="90"/>
  <c r="K29" i="90"/>
  <c r="K27" i="90"/>
  <c r="K26" i="90"/>
  <c r="K25" i="90"/>
  <c r="K24" i="90"/>
  <c r="K23" i="90"/>
  <c r="P20" i="90"/>
  <c r="P19" i="90"/>
  <c r="P18" i="90"/>
  <c r="P17" i="90"/>
  <c r="P16" i="90"/>
  <c r="P13" i="90"/>
  <c r="P12" i="90"/>
  <c r="P11" i="90"/>
  <c r="P10" i="90"/>
  <c r="P9" i="90"/>
  <c r="P7" i="90"/>
  <c r="P6" i="90"/>
  <c r="P5" i="90"/>
  <c r="P4" i="90"/>
  <c r="P3" i="90"/>
  <c r="F206" i="90"/>
  <c r="E201" i="90"/>
  <c r="E200" i="90"/>
  <c r="E199" i="90"/>
  <c r="E198" i="90"/>
  <c r="E197" i="90"/>
  <c r="E196" i="90"/>
  <c r="E195" i="90"/>
  <c r="E194" i="90"/>
  <c r="E193" i="90"/>
  <c r="E191" i="90"/>
  <c r="E190" i="90"/>
  <c r="E189" i="90"/>
  <c r="E188" i="90"/>
  <c r="E187" i="90"/>
  <c r="E183" i="90"/>
  <c r="E182" i="90"/>
  <c r="E180" i="90"/>
  <c r="E179" i="90"/>
  <c r="E178" i="90"/>
  <c r="E177" i="90"/>
  <c r="H174" i="90"/>
  <c r="F174" i="90"/>
  <c r="D204" i="90" s="1"/>
  <c r="F205" i="90" s="1"/>
  <c r="E174" i="90"/>
  <c r="D174" i="90"/>
  <c r="C174" i="90"/>
  <c r="K13" i="90" s="1"/>
  <c r="B174" i="90"/>
  <c r="B171" i="90"/>
  <c r="F163" i="90"/>
  <c r="E158" i="90"/>
  <c r="E157" i="90"/>
  <c r="E156" i="90"/>
  <c r="E155" i="90"/>
  <c r="E154" i="90"/>
  <c r="E153" i="90"/>
  <c r="E152" i="90"/>
  <c r="E151" i="90"/>
  <c r="E150" i="90"/>
  <c r="E148" i="90"/>
  <c r="E147" i="90"/>
  <c r="E146" i="90"/>
  <c r="E145" i="90"/>
  <c r="E144" i="90"/>
  <c r="E140" i="90"/>
  <c r="E139" i="90"/>
  <c r="E137" i="90"/>
  <c r="E136" i="90"/>
  <c r="E135" i="90"/>
  <c r="E134" i="90"/>
  <c r="H131" i="90"/>
  <c r="F131" i="90"/>
  <c r="D161" i="90" s="1"/>
  <c r="F162" i="90" s="1"/>
  <c r="E131" i="90"/>
  <c r="D131" i="90"/>
  <c r="C131" i="90"/>
  <c r="K12" i="90" s="1"/>
  <c r="B131" i="90"/>
  <c r="D143" i="90" s="1"/>
  <c r="E143" i="90" s="1"/>
  <c r="B128" i="90"/>
  <c r="F119" i="90"/>
  <c r="E114" i="90"/>
  <c r="E113" i="90"/>
  <c r="E112" i="90"/>
  <c r="E111" i="90"/>
  <c r="E110" i="90"/>
  <c r="E109" i="90"/>
  <c r="E108" i="90"/>
  <c r="E107" i="90"/>
  <c r="E106" i="90"/>
  <c r="E104" i="90"/>
  <c r="E103" i="90"/>
  <c r="E102" i="90"/>
  <c r="E101" i="90"/>
  <c r="E100" i="90"/>
  <c r="E96" i="90"/>
  <c r="E95" i="90"/>
  <c r="E93" i="90"/>
  <c r="E92" i="90"/>
  <c r="E91" i="90"/>
  <c r="E90" i="90"/>
  <c r="H87" i="90"/>
  <c r="F87" i="90"/>
  <c r="D117" i="90" s="1"/>
  <c r="F118" i="90" s="1"/>
  <c r="E87" i="90"/>
  <c r="D87" i="90"/>
  <c r="C87" i="90"/>
  <c r="K11" i="90" s="1"/>
  <c r="B87" i="90"/>
  <c r="D99" i="90" s="1"/>
  <c r="E99" i="90" s="1"/>
  <c r="B84" i="90"/>
  <c r="F75" i="90"/>
  <c r="E70" i="90"/>
  <c r="E69" i="90"/>
  <c r="E68" i="90"/>
  <c r="E67" i="90"/>
  <c r="E66" i="90"/>
  <c r="E65" i="90"/>
  <c r="E64" i="90"/>
  <c r="E63" i="90"/>
  <c r="E62" i="90"/>
  <c r="E60" i="90"/>
  <c r="E59" i="90"/>
  <c r="E58" i="90"/>
  <c r="E57" i="90"/>
  <c r="E56" i="90"/>
  <c r="E52" i="90"/>
  <c r="E51" i="90"/>
  <c r="E49" i="90"/>
  <c r="E48" i="90"/>
  <c r="E47" i="90"/>
  <c r="E46" i="90"/>
  <c r="H43" i="90"/>
  <c r="F43" i="90"/>
  <c r="D73" i="90" s="1"/>
  <c r="F74" i="90" s="1"/>
  <c r="E43" i="90"/>
  <c r="D43" i="90"/>
  <c r="C43" i="90"/>
  <c r="K10" i="90" s="1"/>
  <c r="B43" i="90"/>
  <c r="D55" i="90" s="1"/>
  <c r="E55" i="90" s="1"/>
  <c r="B40" i="90"/>
  <c r="D34" i="41" l="1"/>
  <c r="E7" i="41"/>
  <c r="D209" i="90"/>
  <c r="K20" i="90" s="1"/>
  <c r="D186" i="90"/>
  <c r="E186" i="90" s="1"/>
  <c r="D122" i="90"/>
  <c r="K18" i="90" s="1"/>
  <c r="D78" i="90"/>
  <c r="K17" i="90" s="1"/>
  <c r="D166" i="90"/>
  <c r="K19" i="90" s="1"/>
  <c r="K5" i="90"/>
  <c r="P6" i="92"/>
  <c r="P7" i="92"/>
  <c r="K4" i="90"/>
  <c r="P4" i="92"/>
  <c r="K7" i="90"/>
  <c r="P5" i="92"/>
  <c r="K6" i="90"/>
  <c r="K8" i="92"/>
  <c r="E27" i="44" s="1"/>
  <c r="K2" i="92"/>
  <c r="D27" i="44" s="1"/>
  <c r="P34" i="90"/>
  <c r="G26" i="44" s="1"/>
  <c r="P28" i="90"/>
  <c r="E26" i="44" s="1"/>
  <c r="P22" i="90"/>
  <c r="D26" i="44" s="1"/>
  <c r="K34" i="90"/>
  <c r="G25" i="44" s="1"/>
  <c r="K28" i="90"/>
  <c r="E25" i="44" s="1"/>
  <c r="K22" i="90"/>
  <c r="D25" i="44" s="1"/>
  <c r="P14" i="90"/>
  <c r="G24" i="44" s="1"/>
  <c r="P8" i="90"/>
  <c r="E24" i="44" s="1"/>
  <c r="P2" i="90"/>
  <c r="D24" i="44" s="1"/>
  <c r="F164" i="90"/>
  <c r="F207" i="90"/>
  <c r="F120" i="90"/>
  <c r="F76" i="90"/>
  <c r="D158" i="90" l="1"/>
  <c r="D201" i="90"/>
  <c r="D114" i="90"/>
  <c r="D70" i="90"/>
  <c r="E8" i="34" l="1"/>
  <c r="E120" i="85"/>
  <c r="E92" i="85"/>
  <c r="E64" i="85"/>
  <c r="E36" i="85"/>
  <c r="B4" i="85"/>
  <c r="E8" i="85"/>
  <c r="E112" i="82"/>
  <c r="E86" i="82"/>
  <c r="E60" i="82"/>
  <c r="E34" i="82"/>
  <c r="E8" i="82"/>
  <c r="E120" i="76"/>
  <c r="E92" i="76"/>
  <c r="E64" i="76"/>
  <c r="E36" i="76"/>
  <c r="E8" i="76"/>
  <c r="E76" i="41"/>
  <c r="E102" i="75"/>
  <c r="E78" i="75"/>
  <c r="E54" i="75"/>
  <c r="E30" i="75"/>
  <c r="E6" i="75"/>
  <c r="E6" i="74"/>
  <c r="H119" i="72"/>
  <c r="H91" i="72"/>
  <c r="H63" i="72"/>
  <c r="H35" i="72"/>
  <c r="H7" i="72"/>
  <c r="H121" i="68"/>
  <c r="H93" i="68"/>
  <c r="H65" i="68"/>
  <c r="H37" i="68"/>
  <c r="H9" i="68"/>
  <c r="F4" i="75"/>
  <c r="E7" i="97"/>
  <c r="E10" i="97"/>
  <c r="F4" i="97"/>
  <c r="E7" i="55"/>
  <c r="D27" i="34"/>
  <c r="F26" i="34"/>
  <c r="E9" i="97"/>
  <c r="E11" i="97"/>
  <c r="E8" i="97"/>
  <c r="G4" i="97"/>
  <c r="B4" i="97"/>
  <c r="K2" i="97" s="1"/>
  <c r="B4" i="96"/>
  <c r="K2" i="96" s="1"/>
  <c r="E6" i="96"/>
  <c r="E17" i="95"/>
  <c r="F4" i="95"/>
  <c r="B4" i="95"/>
  <c r="E12" i="95"/>
  <c r="E20" i="95"/>
  <c r="E22" i="95"/>
  <c r="E21" i="95"/>
  <c r="E18" i="95"/>
  <c r="E23" i="95"/>
  <c r="E24" i="95"/>
  <c r="E16" i="95"/>
  <c r="E15" i="95"/>
  <c r="E14" i="95"/>
  <c r="E9" i="95"/>
  <c r="E8" i="95"/>
  <c r="E11" i="95"/>
  <c r="E10" i="95"/>
  <c r="H4" i="97"/>
  <c r="E4" i="97"/>
  <c r="D4" i="97"/>
  <c r="C4" i="97"/>
  <c r="B1" i="97"/>
  <c r="H4" i="96"/>
  <c r="G4" i="96"/>
  <c r="C4" i="96"/>
  <c r="B1" i="96"/>
  <c r="E27" i="94"/>
  <c r="E28" i="94"/>
  <c r="H4" i="95"/>
  <c r="G4" i="95"/>
  <c r="E4" i="95"/>
  <c r="D4" i="95"/>
  <c r="C4" i="95"/>
  <c r="K9" i="95" s="1"/>
  <c r="K8" i="95" s="1"/>
  <c r="E32" i="44" s="1"/>
  <c r="B1" i="95"/>
  <c r="F34" i="94"/>
  <c r="F33" i="94"/>
  <c r="F4" i="33"/>
  <c r="D7" i="33" s="1"/>
  <c r="E26" i="94"/>
  <c r="E25" i="94"/>
  <c r="E24" i="94"/>
  <c r="E23" i="94"/>
  <c r="E22" i="94"/>
  <c r="E21" i="94"/>
  <c r="E16" i="94"/>
  <c r="E17" i="94"/>
  <c r="B4" i="94"/>
  <c r="E12" i="94"/>
  <c r="E11" i="94"/>
  <c r="E10" i="94"/>
  <c r="E13" i="92"/>
  <c r="E11" i="92"/>
  <c r="E29" i="94"/>
  <c r="E20" i="94"/>
  <c r="E19" i="94"/>
  <c r="E18" i="94"/>
  <c r="E15" i="94"/>
  <c r="E9" i="94"/>
  <c r="E8" i="94"/>
  <c r="E7" i="94"/>
  <c r="E6" i="94"/>
  <c r="H4" i="94"/>
  <c r="G4" i="94"/>
  <c r="F4" i="94"/>
  <c r="E4" i="94"/>
  <c r="D4" i="94"/>
  <c r="C4" i="94"/>
  <c r="B1" i="94"/>
  <c r="F4" i="92"/>
  <c r="D43" i="92" s="1"/>
  <c r="B4" i="92"/>
  <c r="D15" i="92" s="1"/>
  <c r="F36" i="92"/>
  <c r="F37" i="92"/>
  <c r="F34" i="92"/>
  <c r="F33" i="92"/>
  <c r="F32" i="92"/>
  <c r="F31" i="92"/>
  <c r="F30" i="92"/>
  <c r="F29" i="92"/>
  <c r="F28" i="92"/>
  <c r="F27" i="92"/>
  <c r="E7" i="92"/>
  <c r="F36" i="90"/>
  <c r="E9" i="90"/>
  <c r="E9" i="92"/>
  <c r="E16" i="92"/>
  <c r="E8" i="92"/>
  <c r="B4" i="90"/>
  <c r="E8" i="90"/>
  <c r="E23" i="92"/>
  <c r="E22" i="92"/>
  <c r="E20" i="92"/>
  <c r="E19" i="92"/>
  <c r="E18" i="92"/>
  <c r="E17" i="92"/>
  <c r="E10" i="92"/>
  <c r="H4" i="92"/>
  <c r="G4" i="92"/>
  <c r="E4" i="92"/>
  <c r="D4" i="92"/>
  <c r="C4" i="92"/>
  <c r="P9" i="92" s="1"/>
  <c r="P8" i="92" s="1"/>
  <c r="E28" i="44" s="1"/>
  <c r="B1" i="92"/>
  <c r="E24" i="90"/>
  <c r="E30" i="90"/>
  <c r="E29" i="90"/>
  <c r="E28" i="90"/>
  <c r="E27" i="90"/>
  <c r="E26" i="90"/>
  <c r="E25" i="90"/>
  <c r="E23" i="90"/>
  <c r="E21" i="90"/>
  <c r="E20" i="90"/>
  <c r="E19" i="90"/>
  <c r="E18" i="90"/>
  <c r="E17" i="90"/>
  <c r="E13" i="90"/>
  <c r="E10" i="90"/>
  <c r="E7" i="90"/>
  <c r="H4" i="90"/>
  <c r="G4" i="90"/>
  <c r="F4" i="90"/>
  <c r="D34" i="90" s="1"/>
  <c r="F35" i="90" s="1"/>
  <c r="E4" i="90"/>
  <c r="D4" i="90"/>
  <c r="C4" i="90"/>
  <c r="K9" i="90" s="1"/>
  <c r="K8" i="90" s="1"/>
  <c r="E23" i="44" s="1"/>
  <c r="B1" i="90"/>
  <c r="D10" i="28"/>
  <c r="E10" i="28" s="1"/>
  <c r="F10" i="28" s="1"/>
  <c r="K3" i="94" l="1"/>
  <c r="E31" i="44" s="1"/>
  <c r="K3" i="97"/>
  <c r="E36" i="44" s="1"/>
  <c r="E41" i="44" s="1"/>
  <c r="K3" i="96"/>
  <c r="E35" i="44" s="1"/>
  <c r="D14" i="94"/>
  <c r="E14" i="94" s="1"/>
  <c r="K2" i="94"/>
  <c r="D31" i="44" s="1"/>
  <c r="D9" i="85"/>
  <c r="D39" i="90"/>
  <c r="D16" i="90"/>
  <c r="E16" i="90" s="1"/>
  <c r="K15" i="95"/>
  <c r="K14" i="95" s="1"/>
  <c r="G32" i="44" s="1"/>
  <c r="D32" i="95"/>
  <c r="F37" i="90"/>
  <c r="D36" i="94"/>
  <c r="K34" i="92"/>
  <c r="K33" i="92" s="1"/>
  <c r="G29" i="44" s="1"/>
  <c r="P34" i="92"/>
  <c r="P33" i="92" s="1"/>
  <c r="G30" i="44" s="1"/>
  <c r="P15" i="92"/>
  <c r="P14" i="92" s="1"/>
  <c r="G28" i="44" s="1"/>
  <c r="K15" i="92"/>
  <c r="K14" i="92" s="1"/>
  <c r="G27" i="44" s="1"/>
  <c r="K16" i="90"/>
  <c r="K14" i="90" s="1"/>
  <c r="G23" i="44" s="1"/>
  <c r="K3" i="90"/>
  <c r="K2" i="90" s="1"/>
  <c r="D23" i="44" s="1"/>
  <c r="E15" i="92"/>
  <c r="P3" i="92"/>
  <c r="P2" i="92" s="1"/>
  <c r="D28" i="44" s="1"/>
  <c r="E12" i="97"/>
  <c r="D36" i="44"/>
  <c r="D41" i="44" s="1"/>
  <c r="D7" i="96"/>
  <c r="E7" i="96" s="1"/>
  <c r="D35" i="44"/>
  <c r="D28" i="34"/>
  <c r="D7" i="95"/>
  <c r="E7" i="95" s="1"/>
  <c r="K3" i="95"/>
  <c r="K2" i="95" s="1"/>
  <c r="D32" i="44" s="1"/>
  <c r="E13" i="95"/>
  <c r="D29" i="95"/>
  <c r="K4" i="94" l="1"/>
  <c r="G31" i="44" s="1"/>
  <c r="G36" i="44"/>
  <c r="G41" i="44" s="1"/>
  <c r="F30" i="95"/>
  <c r="D31" i="90"/>
  <c r="E31" i="90" s="1"/>
  <c r="C38" i="28"/>
  <c r="B38" i="28"/>
  <c r="F11" i="28"/>
  <c r="F12" i="28"/>
  <c r="F13" i="28"/>
  <c r="F14" i="28"/>
  <c r="F16" i="28"/>
  <c r="F17" i="28"/>
  <c r="F18" i="28"/>
  <c r="F19" i="28"/>
  <c r="F20" i="28"/>
  <c r="F21" i="28"/>
  <c r="F22" i="28"/>
  <c r="F23" i="28"/>
  <c r="F24" i="28"/>
  <c r="F25" i="28"/>
  <c r="F26" i="28"/>
  <c r="F27" i="28"/>
  <c r="F28" i="28"/>
  <c r="F29" i="28"/>
  <c r="F30" i="28"/>
  <c r="F31" i="28"/>
  <c r="F32" i="28"/>
  <c r="F33" i="28"/>
  <c r="F34" i="28"/>
  <c r="F35" i="28"/>
  <c r="F36" i="28"/>
  <c r="F37" i="28"/>
  <c r="B12" i="43"/>
  <c r="D109" i="52" l="1"/>
  <c r="D111" i="52" s="1"/>
  <c r="D123" i="52"/>
  <c r="D125" i="52" s="1"/>
  <c r="C123" i="52"/>
  <c r="C109" i="52"/>
  <c r="D81" i="52"/>
  <c r="D83" i="52" s="1"/>
  <c r="D95" i="52"/>
  <c r="D97" i="52" s="1"/>
  <c r="C81" i="52"/>
  <c r="C95" i="52"/>
  <c r="B11" i="43"/>
  <c r="C67" i="52"/>
  <c r="C53" i="52"/>
  <c r="C39" i="52"/>
  <c r="C25" i="52"/>
  <c r="C27" i="52" s="1"/>
  <c r="C11" i="52"/>
  <c r="D67" i="52"/>
  <c r="D69" i="52" s="1"/>
  <c r="D53" i="52"/>
  <c r="D55" i="52" s="1"/>
  <c r="D39" i="52"/>
  <c r="D41" i="52" s="1"/>
  <c r="D25" i="52"/>
  <c r="D27" i="52" s="1"/>
  <c r="D11" i="52"/>
  <c r="C111" i="52" l="1"/>
  <c r="C125" i="52"/>
  <c r="C97" i="52"/>
  <c r="C83" i="52"/>
  <c r="C55" i="52"/>
  <c r="C69" i="52"/>
  <c r="C41" i="52"/>
  <c r="E103" i="75" l="1"/>
  <c r="E79" i="75"/>
  <c r="E55" i="75"/>
  <c r="E31" i="75"/>
  <c r="E7" i="75"/>
  <c r="E7" i="74"/>
  <c r="E9" i="55"/>
  <c r="H113" i="75" l="1"/>
  <c r="H89" i="75"/>
  <c r="H65" i="75"/>
  <c r="H41" i="75"/>
  <c r="H17" i="75"/>
  <c r="H22" i="75" l="1"/>
  <c r="H20" i="74" l="1"/>
  <c r="E125" i="85" l="1"/>
  <c r="E97" i="85"/>
  <c r="E69" i="85"/>
  <c r="E41" i="85"/>
  <c r="E13" i="85"/>
  <c r="E117" i="66"/>
  <c r="E91" i="66"/>
  <c r="E65" i="66"/>
  <c r="E39" i="66"/>
  <c r="E13" i="66"/>
  <c r="H133" i="85" l="1"/>
  <c r="E130" i="85"/>
  <c r="E129" i="85"/>
  <c r="E128" i="85"/>
  <c r="E127" i="85"/>
  <c r="E126" i="85"/>
  <c r="E124" i="85"/>
  <c r="E123" i="85"/>
  <c r="E122" i="85"/>
  <c r="E119" i="85"/>
  <c r="E118" i="85"/>
  <c r="G116" i="85"/>
  <c r="B113" i="85"/>
  <c r="H108" i="85"/>
  <c r="H105" i="85"/>
  <c r="E102" i="85"/>
  <c r="E101" i="85"/>
  <c r="E100" i="85"/>
  <c r="E99" i="85"/>
  <c r="E98" i="85"/>
  <c r="E96" i="85"/>
  <c r="E95" i="85"/>
  <c r="E94" i="85"/>
  <c r="E91" i="85"/>
  <c r="E90" i="85"/>
  <c r="G88" i="85"/>
  <c r="B85" i="85"/>
  <c r="H80" i="85"/>
  <c r="H77" i="85"/>
  <c r="E74" i="85"/>
  <c r="E73" i="85"/>
  <c r="E72" i="85"/>
  <c r="E71" i="85"/>
  <c r="E70" i="85"/>
  <c r="E68" i="85"/>
  <c r="E67" i="85"/>
  <c r="E66" i="85"/>
  <c r="E63" i="85"/>
  <c r="E62" i="85"/>
  <c r="G60" i="85"/>
  <c r="B57" i="85"/>
  <c r="H52" i="85"/>
  <c r="H49" i="85"/>
  <c r="E46" i="85"/>
  <c r="E45" i="85"/>
  <c r="E44" i="85"/>
  <c r="E43" i="85"/>
  <c r="E42" i="85"/>
  <c r="E40" i="85"/>
  <c r="E39" i="85"/>
  <c r="E38" i="85"/>
  <c r="E35" i="85"/>
  <c r="E34" i="85"/>
  <c r="G32" i="85"/>
  <c r="B29" i="85"/>
  <c r="G4" i="34"/>
  <c r="G4" i="85"/>
  <c r="H128" i="66"/>
  <c r="H125" i="66"/>
  <c r="E122" i="66"/>
  <c r="E121" i="66"/>
  <c r="E120" i="66"/>
  <c r="E119" i="66"/>
  <c r="E118" i="66"/>
  <c r="E116" i="66"/>
  <c r="E115" i="66"/>
  <c r="E114" i="66"/>
  <c r="E110" i="66"/>
  <c r="G108" i="66"/>
  <c r="B105" i="66"/>
  <c r="H102" i="66"/>
  <c r="H99" i="66"/>
  <c r="E96" i="66"/>
  <c r="E95" i="66"/>
  <c r="E94" i="66"/>
  <c r="E93" i="66"/>
  <c r="E92" i="66"/>
  <c r="E90" i="66"/>
  <c r="E89" i="66"/>
  <c r="E88" i="66"/>
  <c r="E84" i="66"/>
  <c r="G82" i="66"/>
  <c r="B79" i="66"/>
  <c r="H76" i="66"/>
  <c r="H73" i="66"/>
  <c r="E70" i="66"/>
  <c r="E69" i="66"/>
  <c r="E68" i="66"/>
  <c r="E67" i="66"/>
  <c r="E66" i="66"/>
  <c r="E64" i="66"/>
  <c r="E63" i="66"/>
  <c r="E62" i="66"/>
  <c r="E58" i="66"/>
  <c r="G56" i="66"/>
  <c r="B53" i="66"/>
  <c r="H50" i="66"/>
  <c r="H47" i="66"/>
  <c r="E44" i="66"/>
  <c r="E43" i="66"/>
  <c r="E42" i="66"/>
  <c r="E41" i="66"/>
  <c r="E40" i="66"/>
  <c r="E38" i="66"/>
  <c r="E37" i="66"/>
  <c r="E36" i="66"/>
  <c r="E32" i="66"/>
  <c r="G30" i="66"/>
  <c r="B27" i="66"/>
  <c r="G4" i="66"/>
  <c r="G112" i="83"/>
  <c r="G85" i="83"/>
  <c r="G58" i="83"/>
  <c r="G31" i="83"/>
  <c r="G88" i="36"/>
  <c r="G67" i="36"/>
  <c r="G46" i="36"/>
  <c r="G25" i="36"/>
  <c r="G128" i="38"/>
  <c r="G97" i="38"/>
  <c r="G66" i="38"/>
  <c r="G35" i="38"/>
  <c r="G56" i="33"/>
  <c r="G43" i="33"/>
  <c r="G30" i="33"/>
  <c r="G17" i="33"/>
  <c r="G108" i="82"/>
  <c r="G82" i="82"/>
  <c r="G56" i="82"/>
  <c r="G30" i="82"/>
  <c r="G116" i="76"/>
  <c r="G88" i="76"/>
  <c r="G60" i="76"/>
  <c r="G32" i="76"/>
  <c r="G72" i="41"/>
  <c r="G58" i="73"/>
  <c r="G45" i="73"/>
  <c r="G32" i="73"/>
  <c r="G19" i="73"/>
  <c r="G100" i="75"/>
  <c r="G76" i="75"/>
  <c r="G52" i="75"/>
  <c r="G28" i="75"/>
  <c r="G116" i="72"/>
  <c r="G88" i="72"/>
  <c r="G60" i="72"/>
  <c r="G32" i="72"/>
  <c r="G118" i="68"/>
  <c r="G90" i="68"/>
  <c r="G62" i="68"/>
  <c r="G34" i="68"/>
  <c r="F133" i="83"/>
  <c r="D131" i="83"/>
  <c r="F131" i="83" s="1"/>
  <c r="E127" i="83"/>
  <c r="E126" i="83"/>
  <c r="E124" i="83"/>
  <c r="E123" i="83"/>
  <c r="E122" i="83"/>
  <c r="E121" i="83"/>
  <c r="E114" i="83"/>
  <c r="B109" i="83"/>
  <c r="F106" i="83"/>
  <c r="D104" i="83"/>
  <c r="F104" i="83" s="1"/>
  <c r="E100" i="83"/>
  <c r="E99" i="83"/>
  <c r="E97" i="83"/>
  <c r="E96" i="83"/>
  <c r="E95" i="83"/>
  <c r="E94" i="83"/>
  <c r="E87" i="83"/>
  <c r="B82" i="83"/>
  <c r="F79" i="83"/>
  <c r="D77" i="83"/>
  <c r="F77" i="83" s="1"/>
  <c r="E73" i="83"/>
  <c r="E72" i="83"/>
  <c r="E70" i="83"/>
  <c r="E69" i="83"/>
  <c r="E68" i="83"/>
  <c r="E67" i="83"/>
  <c r="E60" i="83"/>
  <c r="B55" i="83"/>
  <c r="F52" i="83"/>
  <c r="D50" i="83"/>
  <c r="F50" i="83" s="1"/>
  <c r="E46" i="83"/>
  <c r="E45" i="83"/>
  <c r="E43" i="83"/>
  <c r="E42" i="83"/>
  <c r="E41" i="83"/>
  <c r="E40" i="83"/>
  <c r="E33" i="83"/>
  <c r="B28" i="83"/>
  <c r="G104" i="36"/>
  <c r="E96" i="36"/>
  <c r="E95" i="36"/>
  <c r="E94" i="36"/>
  <c r="E93" i="36"/>
  <c r="E92" i="36"/>
  <c r="E91" i="36"/>
  <c r="B85" i="36"/>
  <c r="B64" i="36"/>
  <c r="E70" i="36"/>
  <c r="E71" i="36"/>
  <c r="E72" i="36"/>
  <c r="E73" i="36"/>
  <c r="E74" i="36"/>
  <c r="E75" i="36"/>
  <c r="G83" i="36"/>
  <c r="G62" i="36"/>
  <c r="E54" i="36"/>
  <c r="E53" i="36"/>
  <c r="E52" i="36"/>
  <c r="E51" i="36"/>
  <c r="E50" i="36"/>
  <c r="E49" i="36"/>
  <c r="B43" i="36"/>
  <c r="G41" i="36"/>
  <c r="E33" i="36"/>
  <c r="E32" i="36"/>
  <c r="E31" i="36"/>
  <c r="E30" i="36"/>
  <c r="E29" i="36"/>
  <c r="E28" i="36"/>
  <c r="B22" i="36"/>
  <c r="F152" i="38"/>
  <c r="F151" i="38"/>
  <c r="F150" i="38"/>
  <c r="F149" i="38"/>
  <c r="D149" i="38"/>
  <c r="D152" i="38" s="1"/>
  <c r="E136" i="38"/>
  <c r="E135" i="38"/>
  <c r="E134" i="38"/>
  <c r="E133" i="38"/>
  <c r="E132" i="38"/>
  <c r="E131" i="38"/>
  <c r="B125" i="38"/>
  <c r="F121" i="38"/>
  <c r="F120" i="38"/>
  <c r="F119" i="38"/>
  <c r="F118" i="38"/>
  <c r="D118" i="38"/>
  <c r="D121" i="38" s="1"/>
  <c r="E105" i="38"/>
  <c r="E104" i="38"/>
  <c r="E103" i="38"/>
  <c r="E102" i="38"/>
  <c r="E101" i="38"/>
  <c r="E100" i="38"/>
  <c r="B94" i="38"/>
  <c r="F90" i="38"/>
  <c r="F89" i="38"/>
  <c r="F88" i="38"/>
  <c r="F87" i="38"/>
  <c r="D87" i="38"/>
  <c r="D90" i="38" s="1"/>
  <c r="E74" i="38"/>
  <c r="E73" i="38"/>
  <c r="E72" i="38"/>
  <c r="E71" i="38"/>
  <c r="E70" i="38"/>
  <c r="E69" i="38"/>
  <c r="B63" i="38"/>
  <c r="F59" i="38"/>
  <c r="F58" i="38"/>
  <c r="F57" i="38"/>
  <c r="F56" i="38"/>
  <c r="D56" i="38"/>
  <c r="D59" i="38" s="1"/>
  <c r="E43" i="38"/>
  <c r="E42" i="38"/>
  <c r="E41" i="38"/>
  <c r="E40" i="38"/>
  <c r="E39" i="38"/>
  <c r="E38" i="38"/>
  <c r="B32" i="38"/>
  <c r="D62" i="33"/>
  <c r="B53" i="33"/>
  <c r="D49" i="33"/>
  <c r="B40" i="33"/>
  <c r="D36" i="33"/>
  <c r="B27" i="33"/>
  <c r="F23" i="33"/>
  <c r="D23" i="33"/>
  <c r="B14" i="33"/>
  <c r="H127" i="82"/>
  <c r="H124" i="82"/>
  <c r="H122" i="82"/>
  <c r="E118" i="82"/>
  <c r="E117" i="82"/>
  <c r="E116" i="82"/>
  <c r="E115" i="82"/>
  <c r="E114" i="82"/>
  <c r="E111" i="82"/>
  <c r="B105" i="82"/>
  <c r="H101" i="82"/>
  <c r="H98" i="82"/>
  <c r="H96" i="82"/>
  <c r="E92" i="82"/>
  <c r="E91" i="82"/>
  <c r="E90" i="82"/>
  <c r="E89" i="82"/>
  <c r="E88" i="82"/>
  <c r="E85" i="82"/>
  <c r="B79" i="82"/>
  <c r="H75" i="82"/>
  <c r="H72" i="82"/>
  <c r="H70" i="82"/>
  <c r="E66" i="82"/>
  <c r="E65" i="82"/>
  <c r="E64" i="82"/>
  <c r="E63" i="82"/>
  <c r="E62" i="82"/>
  <c r="E59" i="82"/>
  <c r="B53" i="82"/>
  <c r="H49" i="82"/>
  <c r="H46" i="82"/>
  <c r="H44" i="82"/>
  <c r="E40" i="82"/>
  <c r="E39" i="82"/>
  <c r="E38" i="82"/>
  <c r="E37" i="82"/>
  <c r="E36" i="82"/>
  <c r="E33" i="82"/>
  <c r="B27" i="82"/>
  <c r="H137" i="76"/>
  <c r="H134" i="76"/>
  <c r="H132" i="76"/>
  <c r="E128" i="76"/>
  <c r="E127" i="76"/>
  <c r="E126" i="76"/>
  <c r="E125" i="76"/>
  <c r="E124" i="76"/>
  <c r="E123" i="76"/>
  <c r="E119" i="76"/>
  <c r="B113" i="76"/>
  <c r="H109" i="76"/>
  <c r="H106" i="76"/>
  <c r="H104" i="76"/>
  <c r="E100" i="76"/>
  <c r="E99" i="76"/>
  <c r="E98" i="76"/>
  <c r="E97" i="76"/>
  <c r="E96" i="76"/>
  <c r="E95" i="76"/>
  <c r="E91" i="76"/>
  <c r="B85" i="76"/>
  <c r="H81" i="76"/>
  <c r="H78" i="76"/>
  <c r="H76" i="76"/>
  <c r="E72" i="76"/>
  <c r="E71" i="76"/>
  <c r="E70" i="76"/>
  <c r="E69" i="76"/>
  <c r="E68" i="76"/>
  <c r="E67" i="76"/>
  <c r="E63" i="76"/>
  <c r="B57" i="76"/>
  <c r="H53" i="76"/>
  <c r="H50" i="76"/>
  <c r="H48" i="76"/>
  <c r="E44" i="76"/>
  <c r="E43" i="76"/>
  <c r="E42" i="76"/>
  <c r="E41" i="76"/>
  <c r="E40" i="76"/>
  <c r="E39" i="76"/>
  <c r="E35" i="76"/>
  <c r="B29" i="76"/>
  <c r="F80" i="41"/>
  <c r="B69" i="41"/>
  <c r="B55" i="73"/>
  <c r="H60" i="73"/>
  <c r="H61" i="73"/>
  <c r="H62" i="73"/>
  <c r="H63" i="73"/>
  <c r="H64" i="73"/>
  <c r="H65" i="73"/>
  <c r="H52" i="73"/>
  <c r="H51" i="73"/>
  <c r="H50" i="73"/>
  <c r="H49" i="73"/>
  <c r="H48" i="73"/>
  <c r="H47" i="73"/>
  <c r="B42" i="73"/>
  <c r="B29" i="73"/>
  <c r="H34" i="73"/>
  <c r="H35" i="73"/>
  <c r="H36" i="73"/>
  <c r="H37" i="73"/>
  <c r="H38" i="73"/>
  <c r="H39" i="73"/>
  <c r="H26" i="73"/>
  <c r="H25" i="73"/>
  <c r="H24" i="73"/>
  <c r="H23" i="73"/>
  <c r="H22" i="73"/>
  <c r="H21" i="73"/>
  <c r="B16" i="73"/>
  <c r="H137" i="72"/>
  <c r="E133" i="72"/>
  <c r="E134" i="72" s="1"/>
  <c r="E136" i="72" s="1"/>
  <c r="H131" i="72"/>
  <c r="H129" i="72"/>
  <c r="H126" i="72"/>
  <c r="H125" i="72"/>
  <c r="G125" i="72"/>
  <c r="H124" i="72"/>
  <c r="H123" i="72"/>
  <c r="H122" i="72"/>
  <c r="H121" i="72"/>
  <c r="H120" i="72"/>
  <c r="H118" i="72"/>
  <c r="B113" i="72"/>
  <c r="E105" i="72"/>
  <c r="H103" i="72"/>
  <c r="H101" i="72"/>
  <c r="H98" i="72"/>
  <c r="H97" i="72"/>
  <c r="G97" i="72"/>
  <c r="H96" i="72"/>
  <c r="H95" i="72"/>
  <c r="H94" i="72"/>
  <c r="H93" i="72"/>
  <c r="H92" i="72"/>
  <c r="H90" i="72"/>
  <c r="B85" i="72"/>
  <c r="E77" i="72"/>
  <c r="H75" i="72"/>
  <c r="H73" i="72"/>
  <c r="H70" i="72"/>
  <c r="H69" i="72"/>
  <c r="G69" i="72"/>
  <c r="H68" i="72"/>
  <c r="H67" i="72"/>
  <c r="H66" i="72"/>
  <c r="H65" i="72"/>
  <c r="H64" i="72"/>
  <c r="H62" i="72"/>
  <c r="B57" i="72"/>
  <c r="E49" i="72"/>
  <c r="H47" i="72"/>
  <c r="H45" i="72"/>
  <c r="H42" i="72"/>
  <c r="H41" i="72"/>
  <c r="G41" i="72"/>
  <c r="H40" i="72"/>
  <c r="H39" i="72"/>
  <c r="H38" i="72"/>
  <c r="H37" i="72"/>
  <c r="H36" i="72"/>
  <c r="H34" i="72"/>
  <c r="B29" i="72"/>
  <c r="H139" i="68"/>
  <c r="E135" i="68"/>
  <c r="H133" i="68"/>
  <c r="H131" i="68"/>
  <c r="H128" i="68"/>
  <c r="H127" i="68"/>
  <c r="G127" i="68"/>
  <c r="H126" i="68"/>
  <c r="H125" i="68"/>
  <c r="H124" i="68"/>
  <c r="H123" i="68"/>
  <c r="H122" i="68"/>
  <c r="H120" i="68"/>
  <c r="B115" i="68"/>
  <c r="E107" i="68"/>
  <c r="H105" i="68"/>
  <c r="H103" i="68"/>
  <c r="H100" i="68"/>
  <c r="H99" i="68"/>
  <c r="G99" i="68"/>
  <c r="H98" i="68"/>
  <c r="H97" i="68"/>
  <c r="H96" i="68"/>
  <c r="H95" i="68"/>
  <c r="H94" i="68"/>
  <c r="H92" i="68"/>
  <c r="B87" i="68"/>
  <c r="E79" i="68"/>
  <c r="H77" i="68"/>
  <c r="H75" i="68"/>
  <c r="H72" i="68"/>
  <c r="H71" i="68"/>
  <c r="G71" i="68"/>
  <c r="H70" i="68"/>
  <c r="H69" i="68"/>
  <c r="H68" i="68"/>
  <c r="H67" i="68"/>
  <c r="H66" i="68"/>
  <c r="H64" i="68"/>
  <c r="B59" i="68"/>
  <c r="E51" i="68"/>
  <c r="H49" i="68"/>
  <c r="H47" i="68"/>
  <c r="H44" i="68"/>
  <c r="H43" i="68"/>
  <c r="G43" i="68"/>
  <c r="H42" i="68"/>
  <c r="H41" i="68"/>
  <c r="H40" i="68"/>
  <c r="H39" i="68"/>
  <c r="H38" i="68"/>
  <c r="H36" i="68"/>
  <c r="B31" i="68"/>
  <c r="D4" i="44"/>
  <c r="K4" i="75"/>
  <c r="B97" i="75"/>
  <c r="E104" i="75"/>
  <c r="E107" i="75"/>
  <c r="E108" i="75"/>
  <c r="E109" i="75"/>
  <c r="H114" i="75"/>
  <c r="H115" i="75"/>
  <c r="H91" i="75"/>
  <c r="H90" i="75"/>
  <c r="E85" i="75"/>
  <c r="E84" i="75"/>
  <c r="E80" i="75"/>
  <c r="B73" i="75"/>
  <c r="H67" i="75"/>
  <c r="H66" i="75"/>
  <c r="E61" i="75"/>
  <c r="E60" i="75"/>
  <c r="E56" i="75"/>
  <c r="B49" i="75"/>
  <c r="H43" i="75"/>
  <c r="H42" i="75"/>
  <c r="E37" i="75"/>
  <c r="E36" i="75"/>
  <c r="E32" i="75"/>
  <c r="B25" i="75"/>
  <c r="G4" i="87"/>
  <c r="G4" i="84"/>
  <c r="G4" i="83"/>
  <c r="G4" i="59"/>
  <c r="G4" i="36"/>
  <c r="G4" i="38"/>
  <c r="G4" i="33"/>
  <c r="G4" i="82"/>
  <c r="G4" i="76"/>
  <c r="G4" i="73"/>
  <c r="G4" i="75"/>
  <c r="G4" i="74"/>
  <c r="G4" i="72"/>
  <c r="G4" i="68"/>
  <c r="E78" i="72" l="1"/>
  <c r="E80" i="72" s="1"/>
  <c r="E50" i="72"/>
  <c r="E52" i="72" s="1"/>
  <c r="E106" i="72"/>
  <c r="E108" i="72" s="1"/>
  <c r="E136" i="68"/>
  <c r="E138" i="68" s="1"/>
  <c r="F7" i="44"/>
  <c r="E52" i="68"/>
  <c r="E54" i="68" s="1"/>
  <c r="E108" i="68"/>
  <c r="E110" i="68" s="1"/>
  <c r="E80" i="68"/>
  <c r="E82" i="68" s="1"/>
  <c r="F62" i="33"/>
  <c r="F49" i="33"/>
  <c r="F36" i="33"/>
  <c r="E40" i="44" l="1"/>
  <c r="D40" i="44"/>
  <c r="E13" i="28"/>
  <c r="E14" i="28"/>
  <c r="E16" i="28"/>
  <c r="E17" i="28"/>
  <c r="E18" i="28"/>
  <c r="E19" i="28"/>
  <c r="E20" i="28"/>
  <c r="E21" i="28"/>
  <c r="E22" i="28"/>
  <c r="E23" i="28"/>
  <c r="E24" i="28"/>
  <c r="E25" i="28"/>
  <c r="E26" i="28"/>
  <c r="E27" i="28"/>
  <c r="E28" i="28"/>
  <c r="E29" i="28"/>
  <c r="E30" i="28"/>
  <c r="E31" i="28"/>
  <c r="E32" i="28"/>
  <c r="E33" i="28"/>
  <c r="E34" i="28"/>
  <c r="E35" i="28"/>
  <c r="E36" i="28"/>
  <c r="E37" i="28"/>
  <c r="D9" i="28"/>
  <c r="E9" i="28" s="1"/>
  <c r="F9" i="28" s="1"/>
  <c r="D11" i="28"/>
  <c r="E11" i="28" s="1"/>
  <c r="D12" i="28"/>
  <c r="E12" i="28" s="1"/>
  <c r="D13" i="28"/>
  <c r="D14" i="28"/>
  <c r="D15" i="28"/>
  <c r="D4" i="96" s="1"/>
  <c r="D16" i="28"/>
  <c r="D17" i="28"/>
  <c r="D18" i="28"/>
  <c r="D19" i="28"/>
  <c r="D20" i="28"/>
  <c r="D21" i="28"/>
  <c r="D22" i="28"/>
  <c r="D23" i="28"/>
  <c r="D24" i="28"/>
  <c r="D25" i="28"/>
  <c r="D26" i="28"/>
  <c r="D27" i="28"/>
  <c r="D28" i="28"/>
  <c r="D29" i="28"/>
  <c r="D30" i="28"/>
  <c r="D31" i="28"/>
  <c r="D32" i="28"/>
  <c r="D33" i="28"/>
  <c r="D34" i="28"/>
  <c r="D35" i="28"/>
  <c r="D36" i="28"/>
  <c r="D37" i="28"/>
  <c r="D8" i="28"/>
  <c r="E8" i="28" s="1"/>
  <c r="A9" i="28"/>
  <c r="A10" i="28" s="1"/>
  <c r="A11" i="28" s="1"/>
  <c r="A12" i="28" s="1"/>
  <c r="A13" i="28" s="1"/>
  <c r="A14" i="28" s="1"/>
  <c r="A15" i="28" s="1"/>
  <c r="A16" i="28" s="1"/>
  <c r="A17" i="28" s="1"/>
  <c r="A18" i="28" s="1"/>
  <c r="A19" i="28" s="1"/>
  <c r="A20" i="28" s="1"/>
  <c r="A21" i="28" s="1"/>
  <c r="A22" i="28" s="1"/>
  <c r="E15" i="28" l="1"/>
  <c r="D38" i="28"/>
  <c r="A23" i="28"/>
  <c r="A24" i="28" s="1"/>
  <c r="A25" i="28" s="1"/>
  <c r="A26" i="28" s="1"/>
  <c r="A27" i="28" s="1"/>
  <c r="A28" i="28" s="1"/>
  <c r="A29" i="28" s="1"/>
  <c r="A30" i="28" s="1"/>
  <c r="A31" i="28" s="1"/>
  <c r="A32" i="28" s="1"/>
  <c r="A33" i="28" s="1"/>
  <c r="A34" i="28" s="1"/>
  <c r="A35" i="28" s="1"/>
  <c r="A36" i="28" s="1"/>
  <c r="A37" i="28" s="1"/>
  <c r="D116" i="85"/>
  <c r="D32" i="85"/>
  <c r="C108" i="66"/>
  <c r="C82" i="66"/>
  <c r="B56" i="66"/>
  <c r="D61" i="66" s="1"/>
  <c r="E61" i="66" s="1"/>
  <c r="B30" i="66"/>
  <c r="D35" i="66" s="1"/>
  <c r="E35" i="66" s="1"/>
  <c r="C116" i="85"/>
  <c r="H88" i="85"/>
  <c r="C32" i="85"/>
  <c r="B108" i="66"/>
  <c r="D113" i="66" s="1"/>
  <c r="E113" i="66" s="1"/>
  <c r="B82" i="66"/>
  <c r="D87" i="66" s="1"/>
  <c r="E87" i="66" s="1"/>
  <c r="H88" i="36"/>
  <c r="B67" i="36"/>
  <c r="C46" i="36"/>
  <c r="B128" i="38"/>
  <c r="H66" i="38"/>
  <c r="B35" i="38"/>
  <c r="B56" i="33"/>
  <c r="D65" i="33" s="1"/>
  <c r="B43" i="33"/>
  <c r="D52" i="33" s="1"/>
  <c r="B30" i="33"/>
  <c r="D39" i="33" s="1"/>
  <c r="D17" i="33"/>
  <c r="D108" i="82"/>
  <c r="D82" i="82"/>
  <c r="D56" i="82"/>
  <c r="D30" i="82"/>
  <c r="D60" i="76"/>
  <c r="D45" i="73"/>
  <c r="D116" i="72"/>
  <c r="C32" i="72"/>
  <c r="H118" i="68"/>
  <c r="C90" i="68"/>
  <c r="H62" i="68"/>
  <c r="C34" i="68"/>
  <c r="B76" i="75"/>
  <c r="B52" i="75"/>
  <c r="B28" i="75"/>
  <c r="H4" i="85"/>
  <c r="B4" i="87"/>
  <c r="O2" i="87" s="1"/>
  <c r="C4" i="59"/>
  <c r="O3" i="59" s="1"/>
  <c r="H4" i="33"/>
  <c r="B116" i="85"/>
  <c r="D121" i="85" s="1"/>
  <c r="D60" i="85"/>
  <c r="B32" i="85"/>
  <c r="H56" i="66"/>
  <c r="H30" i="66"/>
  <c r="H112" i="83"/>
  <c r="H85" i="83"/>
  <c r="H58" i="83"/>
  <c r="C67" i="36"/>
  <c r="B46" i="36"/>
  <c r="D25" i="36"/>
  <c r="D97" i="38"/>
  <c r="C17" i="33"/>
  <c r="C108" i="82"/>
  <c r="C82" i="82"/>
  <c r="C56" i="82"/>
  <c r="C30" i="82"/>
  <c r="H88" i="76"/>
  <c r="C60" i="76"/>
  <c r="D72" i="41"/>
  <c r="B58" i="73"/>
  <c r="C45" i="73"/>
  <c r="H19" i="73"/>
  <c r="C116" i="72"/>
  <c r="B32" i="72"/>
  <c r="B90" i="68"/>
  <c r="B34" i="68"/>
  <c r="C4" i="85"/>
  <c r="C60" i="85"/>
  <c r="H108" i="66"/>
  <c r="H82" i="66"/>
  <c r="D31" i="83"/>
  <c r="D67" i="36"/>
  <c r="C25" i="36"/>
  <c r="C97" i="38"/>
  <c r="B17" i="33"/>
  <c r="D26" i="33" s="1"/>
  <c r="B108" i="82"/>
  <c r="B82" i="82"/>
  <c r="B56" i="82"/>
  <c r="B30" i="82"/>
  <c r="D116" i="76"/>
  <c r="B60" i="76"/>
  <c r="D32" i="76"/>
  <c r="C72" i="41"/>
  <c r="C58" i="73"/>
  <c r="B45" i="73"/>
  <c r="H32" i="73"/>
  <c r="B116" i="72"/>
  <c r="H88" i="72"/>
  <c r="D60" i="72"/>
  <c r="H4" i="34"/>
  <c r="C4" i="84"/>
  <c r="O3" i="84" s="1"/>
  <c r="H4" i="36"/>
  <c r="B4" i="33"/>
  <c r="H4" i="74"/>
  <c r="H116" i="85"/>
  <c r="B60" i="85"/>
  <c r="D65" i="85" s="1"/>
  <c r="H32" i="85"/>
  <c r="C31" i="83"/>
  <c r="D88" i="36"/>
  <c r="B25" i="36"/>
  <c r="H128" i="38"/>
  <c r="B97" i="38"/>
  <c r="D66" i="38"/>
  <c r="H35" i="38"/>
  <c r="H56" i="33"/>
  <c r="H43" i="33"/>
  <c r="H30" i="33"/>
  <c r="C116" i="76"/>
  <c r="C32" i="76"/>
  <c r="B72" i="41"/>
  <c r="D58" i="73"/>
  <c r="C60" i="72"/>
  <c r="D118" i="68"/>
  <c r="D62" i="68"/>
  <c r="B100" i="75"/>
  <c r="C88" i="85"/>
  <c r="H60" i="85"/>
  <c r="D56" i="66"/>
  <c r="D30" i="66"/>
  <c r="C112" i="83"/>
  <c r="C85" i="83"/>
  <c r="C58" i="83"/>
  <c r="D112" i="83"/>
  <c r="B88" i="36"/>
  <c r="C43" i="33"/>
  <c r="H108" i="82"/>
  <c r="C62" i="68"/>
  <c r="H34" i="68"/>
  <c r="H100" i="75"/>
  <c r="H52" i="75"/>
  <c r="C28" i="75"/>
  <c r="H4" i="66"/>
  <c r="C4" i="83"/>
  <c r="B4" i="38"/>
  <c r="C4" i="74"/>
  <c r="N3" i="74" s="1"/>
  <c r="H4" i="68"/>
  <c r="H4" i="73"/>
  <c r="H46" i="36"/>
  <c r="H25" i="36"/>
  <c r="D35" i="38"/>
  <c r="D32" i="73"/>
  <c r="C4" i="34"/>
  <c r="K3" i="34" s="1"/>
  <c r="C4" i="82"/>
  <c r="H4" i="75"/>
  <c r="H28" i="75"/>
  <c r="B4" i="76"/>
  <c r="C56" i="66"/>
  <c r="B112" i="83"/>
  <c r="D118" i="83" s="1"/>
  <c r="E118" i="83" s="1"/>
  <c r="D56" i="33"/>
  <c r="B32" i="73"/>
  <c r="D88" i="72"/>
  <c r="D90" i="68"/>
  <c r="B62" i="68"/>
  <c r="H76" i="75"/>
  <c r="C52" i="75"/>
  <c r="K4" i="74"/>
  <c r="C4" i="66"/>
  <c r="B4" i="83"/>
  <c r="C4" i="33"/>
  <c r="B4" i="74"/>
  <c r="N2" i="74" s="1"/>
  <c r="C4" i="68"/>
  <c r="B85" i="83"/>
  <c r="D91" i="83" s="1"/>
  <c r="E91" i="83" s="1"/>
  <c r="H60" i="76"/>
  <c r="H60" i="72"/>
  <c r="D34" i="68"/>
  <c r="B4" i="59"/>
  <c r="C4" i="73"/>
  <c r="H4" i="84"/>
  <c r="H4" i="72"/>
  <c r="C128" i="38"/>
  <c r="D43" i="33"/>
  <c r="H30" i="82"/>
  <c r="B118" i="68"/>
  <c r="H4" i="83"/>
  <c r="B4" i="72"/>
  <c r="D108" i="66"/>
  <c r="D85" i="83"/>
  <c r="C66" i="38"/>
  <c r="C56" i="33"/>
  <c r="H56" i="82"/>
  <c r="H32" i="76"/>
  <c r="C32" i="73"/>
  <c r="D19" i="73"/>
  <c r="C88" i="72"/>
  <c r="C76" i="75"/>
  <c r="B4" i="66"/>
  <c r="O2" i="66" s="1"/>
  <c r="H4" i="59"/>
  <c r="H4" i="82"/>
  <c r="B4" i="68"/>
  <c r="B66" i="38"/>
  <c r="H17" i="33"/>
  <c r="B32" i="76"/>
  <c r="C19" i="73"/>
  <c r="B88" i="72"/>
  <c r="H4" i="87"/>
  <c r="B4" i="36"/>
  <c r="D88" i="85"/>
  <c r="B88" i="85"/>
  <c r="D93" i="85" s="1"/>
  <c r="D58" i="83"/>
  <c r="H67" i="36"/>
  <c r="H97" i="38"/>
  <c r="C35" i="38"/>
  <c r="D88" i="76"/>
  <c r="H45" i="73"/>
  <c r="B19" i="73"/>
  <c r="B60" i="72"/>
  <c r="H32" i="72"/>
  <c r="B4" i="34"/>
  <c r="K2" i="34" s="1"/>
  <c r="C4" i="87"/>
  <c r="O3" i="87" s="1"/>
  <c r="C4" i="36"/>
  <c r="B4" i="82"/>
  <c r="N2" i="82" s="1"/>
  <c r="B4" i="73"/>
  <c r="C30" i="66"/>
  <c r="B58" i="83"/>
  <c r="D64" i="83" s="1"/>
  <c r="E64" i="83" s="1"/>
  <c r="H31" i="83"/>
  <c r="D30" i="33"/>
  <c r="H82" i="82"/>
  <c r="C88" i="76"/>
  <c r="H58" i="73"/>
  <c r="H4" i="86"/>
  <c r="H4" i="76"/>
  <c r="B116" i="76"/>
  <c r="C100" i="75"/>
  <c r="C4" i="38"/>
  <c r="D82" i="66"/>
  <c r="B31" i="83"/>
  <c r="D37" i="83" s="1"/>
  <c r="E37" i="83" s="1"/>
  <c r="D46" i="36"/>
  <c r="D128" i="38"/>
  <c r="C30" i="33"/>
  <c r="H116" i="76"/>
  <c r="B88" i="76"/>
  <c r="H72" i="41"/>
  <c r="H116" i="72"/>
  <c r="C118" i="68"/>
  <c r="H90" i="68"/>
  <c r="C4" i="86"/>
  <c r="O3" i="86" s="1"/>
  <c r="B4" i="84"/>
  <c r="C4" i="76"/>
  <c r="C4" i="75"/>
  <c r="C4" i="72"/>
  <c r="C88" i="36"/>
  <c r="D32" i="72"/>
  <c r="B4" i="75"/>
  <c r="D4" i="85"/>
  <c r="D4" i="87"/>
  <c r="D4" i="36"/>
  <c r="D4" i="76"/>
  <c r="D4" i="72"/>
  <c r="D4" i="75"/>
  <c r="D4" i="59"/>
  <c r="D52" i="75"/>
  <c r="D4" i="86"/>
  <c r="D4" i="66"/>
  <c r="D4" i="82"/>
  <c r="D4" i="34"/>
  <c r="D4" i="83"/>
  <c r="D4" i="33"/>
  <c r="D4" i="73"/>
  <c r="D100" i="75"/>
  <c r="D4" i="68"/>
  <c r="D4" i="74"/>
  <c r="D76" i="75"/>
  <c r="D28" i="75"/>
  <c r="D4" i="84"/>
  <c r="K3" i="38" l="1"/>
  <c r="K3" i="36"/>
  <c r="K2" i="72"/>
  <c r="K2" i="36"/>
  <c r="O3" i="85"/>
  <c r="K3" i="68"/>
  <c r="K3" i="33"/>
  <c r="E11" i="44" s="1"/>
  <c r="O3" i="66"/>
  <c r="O3" i="83"/>
  <c r="K3" i="72"/>
  <c r="K2" i="73"/>
  <c r="E7" i="44" s="1"/>
  <c r="N3" i="82"/>
  <c r="E10" i="44" s="1"/>
  <c r="N3" i="75"/>
  <c r="N3" i="76"/>
  <c r="E9" i="44" s="1"/>
  <c r="D37" i="85"/>
  <c r="E37" i="85" s="1"/>
  <c r="O2" i="85"/>
  <c r="D20" i="44" s="1"/>
  <c r="N2" i="76"/>
  <c r="K2" i="38"/>
  <c r="D10" i="83"/>
  <c r="O2" i="83"/>
  <c r="D9" i="59"/>
  <c r="O2" i="59"/>
  <c r="D15" i="44" s="1"/>
  <c r="E109" i="52"/>
  <c r="E123" i="52"/>
  <c r="N2" i="75"/>
  <c r="D9" i="84"/>
  <c r="O2" i="84"/>
  <c r="D17" i="44" s="1"/>
  <c r="K2" i="68"/>
  <c r="D13" i="33"/>
  <c r="K4" i="33" s="1"/>
  <c r="K2" i="33"/>
  <c r="E81" i="52"/>
  <c r="E95" i="52"/>
  <c r="E4" i="96"/>
  <c r="F15" i="28"/>
  <c r="F4" i="96" s="1"/>
  <c r="D22" i="44"/>
  <c r="E38" i="28"/>
  <c r="E67" i="52"/>
  <c r="E53" i="52"/>
  <c r="E39" i="52"/>
  <c r="E25" i="52"/>
  <c r="E11" i="52"/>
  <c r="F8" i="28"/>
  <c r="D38" i="76"/>
  <c r="D113" i="82"/>
  <c r="D87" i="82"/>
  <c r="D122" i="76"/>
  <c r="D66" i="76"/>
  <c r="D94" i="76"/>
  <c r="D35" i="82"/>
  <c r="D61" i="82"/>
  <c r="E18" i="44"/>
  <c r="D13" i="44"/>
  <c r="E13" i="44"/>
  <c r="E108" i="82"/>
  <c r="E88" i="85"/>
  <c r="E72" i="41"/>
  <c r="E82" i="82"/>
  <c r="D21" i="44"/>
  <c r="E19" i="44"/>
  <c r="E16" i="44"/>
  <c r="E97" i="38"/>
  <c r="E30" i="66"/>
  <c r="E34" i="68"/>
  <c r="E90" i="68"/>
  <c r="D75" i="41"/>
  <c r="E8" i="44"/>
  <c r="E62" i="68"/>
  <c r="E31" i="83"/>
  <c r="E15" i="44"/>
  <c r="E21" i="44"/>
  <c r="E43" i="33"/>
  <c r="E93" i="85"/>
  <c r="E35" i="38"/>
  <c r="E88" i="72"/>
  <c r="E82" i="66"/>
  <c r="D11" i="44"/>
  <c r="E118" i="68"/>
  <c r="E66" i="38"/>
  <c r="E116" i="76"/>
  <c r="D18" i="44"/>
  <c r="E25" i="36"/>
  <c r="E60" i="85"/>
  <c r="E45" i="73"/>
  <c r="E12" i="44"/>
  <c r="E128" i="38"/>
  <c r="E30" i="82"/>
  <c r="E116" i="72"/>
  <c r="E56" i="33"/>
  <c r="E56" i="66"/>
  <c r="E108" i="66"/>
  <c r="E121" i="85"/>
  <c r="K2" i="75"/>
  <c r="E32" i="72"/>
  <c r="E46" i="36"/>
  <c r="E32" i="85"/>
  <c r="K2" i="74"/>
  <c r="E17" i="44"/>
  <c r="K3" i="75"/>
  <c r="E56" i="82"/>
  <c r="D8" i="44"/>
  <c r="K3" i="74"/>
  <c r="E88" i="76"/>
  <c r="E58" i="83"/>
  <c r="E20" i="44"/>
  <c r="E60" i="72"/>
  <c r="E32" i="73"/>
  <c r="E58" i="73"/>
  <c r="E17" i="33"/>
  <c r="E60" i="76"/>
  <c r="E116" i="85"/>
  <c r="E22" i="44"/>
  <c r="E19" i="73"/>
  <c r="E85" i="83"/>
  <c r="E88" i="36"/>
  <c r="D10" i="44"/>
  <c r="E30" i="33"/>
  <c r="D19" i="44"/>
  <c r="D16" i="44"/>
  <c r="D9" i="44"/>
  <c r="D12" i="44"/>
  <c r="E67" i="36"/>
  <c r="E112" i="83"/>
  <c r="E65" i="85"/>
  <c r="E32" i="76"/>
  <c r="E4" i="75"/>
  <c r="E4" i="83"/>
  <c r="E52" i="75"/>
  <c r="E4" i="86"/>
  <c r="E4" i="66"/>
  <c r="E4" i="59"/>
  <c r="E4" i="82"/>
  <c r="E4" i="33"/>
  <c r="E4" i="34"/>
  <c r="E4" i="68"/>
  <c r="E4" i="87"/>
  <c r="E4" i="72"/>
  <c r="E76" i="75"/>
  <c r="E28" i="75"/>
  <c r="E4" i="84"/>
  <c r="E4" i="38"/>
  <c r="E4" i="74"/>
  <c r="E4" i="76"/>
  <c r="E100" i="75"/>
  <c r="E4" i="85"/>
  <c r="E4" i="36"/>
  <c r="E4" i="73"/>
  <c r="F123" i="52" l="1"/>
  <c r="F125" i="52" s="1"/>
  <c r="G125" i="52" s="1"/>
  <c r="F109" i="52"/>
  <c r="F111" i="52" s="1"/>
  <c r="G111" i="52" s="1"/>
  <c r="F81" i="52"/>
  <c r="F83" i="52" s="1"/>
  <c r="G83" i="52" s="1"/>
  <c r="F95" i="52"/>
  <c r="F97" i="52" s="1"/>
  <c r="G97" i="52" s="1"/>
  <c r="E8" i="96"/>
  <c r="G35" i="44"/>
  <c r="G40" i="44" s="1"/>
  <c r="D16" i="96"/>
  <c r="F17" i="96" s="1"/>
  <c r="F38" i="28"/>
  <c r="F67" i="52"/>
  <c r="F69" i="52" s="1"/>
  <c r="G69" i="52" s="1"/>
  <c r="F53" i="52"/>
  <c r="F55" i="52" s="1"/>
  <c r="G55" i="52" s="1"/>
  <c r="F39" i="52"/>
  <c r="F41" i="52" s="1"/>
  <c r="G41" i="52" s="1"/>
  <c r="F25" i="52"/>
  <c r="F27" i="52" s="1"/>
  <c r="G27" i="52" s="1"/>
  <c r="C30" i="52" s="1"/>
  <c r="F11" i="52"/>
  <c r="E5" i="44"/>
  <c r="D39" i="44"/>
  <c r="E6" i="44"/>
  <c r="E75" i="41"/>
  <c r="F60" i="72"/>
  <c r="F88" i="85"/>
  <c r="E107" i="85" s="1"/>
  <c r="F116" i="85"/>
  <c r="E135" i="85" s="1"/>
  <c r="H136" i="85" s="1"/>
  <c r="F30" i="33"/>
  <c r="D33" i="33" s="1"/>
  <c r="F82" i="82"/>
  <c r="F30" i="66"/>
  <c r="E49" i="66" s="1"/>
  <c r="F34" i="68"/>
  <c r="C58" i="68" s="1"/>
  <c r="F32" i="72"/>
  <c r="F66" i="38"/>
  <c r="D84" i="38" s="1"/>
  <c r="D85" i="38" s="1"/>
  <c r="F30" i="82"/>
  <c r="F35" i="38"/>
  <c r="D53" i="38" s="1"/>
  <c r="D54" i="38" s="1"/>
  <c r="F56" i="82"/>
  <c r="F45" i="73"/>
  <c r="F17" i="33"/>
  <c r="D20" i="33" s="1"/>
  <c r="F46" i="36"/>
  <c r="F60" i="85"/>
  <c r="E79" i="85" s="1"/>
  <c r="F116" i="76"/>
  <c r="F88" i="36"/>
  <c r="F112" i="83"/>
  <c r="D130" i="83" s="1"/>
  <c r="D132" i="83" s="1"/>
  <c r="F56" i="66"/>
  <c r="E75" i="66" s="1"/>
  <c r="F72" i="41"/>
  <c r="F108" i="66"/>
  <c r="E127" i="66" s="1"/>
  <c r="F90" i="68"/>
  <c r="C114" i="68" s="1"/>
  <c r="F85" i="83"/>
  <c r="D103" i="83" s="1"/>
  <c r="D105" i="83" s="1"/>
  <c r="F32" i="85"/>
  <c r="E51" i="85" s="1"/>
  <c r="F108" i="82"/>
  <c r="F32" i="76"/>
  <c r="F32" i="73"/>
  <c r="F118" i="68"/>
  <c r="C142" i="68" s="1"/>
  <c r="F58" i="83"/>
  <c r="D76" i="83" s="1"/>
  <c r="D78" i="83" s="1"/>
  <c r="F88" i="76"/>
  <c r="F88" i="72"/>
  <c r="F43" i="33"/>
  <c r="D46" i="33" s="1"/>
  <c r="F25" i="36"/>
  <c r="F60" i="76"/>
  <c r="F82" i="66"/>
  <c r="E101" i="66" s="1"/>
  <c r="F19" i="73"/>
  <c r="F67" i="36"/>
  <c r="F128" i="38"/>
  <c r="D146" i="38" s="1"/>
  <c r="D147" i="38" s="1"/>
  <c r="F58" i="73"/>
  <c r="F97" i="38"/>
  <c r="D115" i="38" s="1"/>
  <c r="D116" i="38" s="1"/>
  <c r="F56" i="33"/>
  <c r="D59" i="33" s="1"/>
  <c r="F31" i="83"/>
  <c r="D49" i="83" s="1"/>
  <c r="D51" i="83" s="1"/>
  <c r="F62" i="68"/>
  <c r="C86" i="68" s="1"/>
  <c r="F116" i="72"/>
  <c r="D6" i="44"/>
  <c r="D5" i="44"/>
  <c r="F100" i="75"/>
  <c r="E112" i="75" s="1"/>
  <c r="E117" i="75" s="1"/>
  <c r="F52" i="75"/>
  <c r="E64" i="75" s="1"/>
  <c r="E69" i="75" s="1"/>
  <c r="F4" i="66"/>
  <c r="E23" i="66" s="1"/>
  <c r="F4" i="59"/>
  <c r="F4" i="82"/>
  <c r="E9" i="82" s="1"/>
  <c r="F4" i="34"/>
  <c r="F25" i="34" s="1"/>
  <c r="F4" i="83"/>
  <c r="F4" i="73"/>
  <c r="F76" i="75"/>
  <c r="E88" i="75" s="1"/>
  <c r="E93" i="75" s="1"/>
  <c r="F28" i="75"/>
  <c r="E40" i="75" s="1"/>
  <c r="E45" i="75" s="1"/>
  <c r="F4" i="84"/>
  <c r="F4" i="38"/>
  <c r="D22" i="38" s="1"/>
  <c r="D23" i="38" s="1"/>
  <c r="F4" i="85"/>
  <c r="E23" i="85" s="1"/>
  <c r="F4" i="87"/>
  <c r="D16" i="87" s="1"/>
  <c r="D18" i="87" s="1"/>
  <c r="F4" i="36"/>
  <c r="F4" i="76"/>
  <c r="E10" i="76" s="1"/>
  <c r="F4" i="68"/>
  <c r="C30" i="68" s="1"/>
  <c r="F4" i="72"/>
  <c r="C28" i="72" s="1"/>
  <c r="K4" i="72" s="1"/>
  <c r="F4" i="74"/>
  <c r="C27" i="74" s="1"/>
  <c r="N4" i="74" s="1"/>
  <c r="D22" i="34"/>
  <c r="D25" i="34" s="1"/>
  <c r="G123" i="52" l="1"/>
  <c r="G109" i="52"/>
  <c r="K4" i="68"/>
  <c r="G81" i="52"/>
  <c r="G95" i="52"/>
  <c r="E47" i="76"/>
  <c r="E52" i="76" s="1"/>
  <c r="E38" i="76"/>
  <c r="E121" i="82"/>
  <c r="E126" i="82" s="1"/>
  <c r="E113" i="82"/>
  <c r="E69" i="82"/>
  <c r="E74" i="82" s="1"/>
  <c r="E61" i="82"/>
  <c r="E75" i="76"/>
  <c r="E80" i="76" s="1"/>
  <c r="E66" i="76"/>
  <c r="E43" i="82"/>
  <c r="E48" i="82" s="1"/>
  <c r="E35" i="82"/>
  <c r="E103" i="76"/>
  <c r="E108" i="76" s="1"/>
  <c r="E94" i="76"/>
  <c r="E131" i="76"/>
  <c r="E136" i="76" s="1"/>
  <c r="E122" i="76"/>
  <c r="E95" i="82"/>
  <c r="E100" i="82" s="1"/>
  <c r="E87" i="82"/>
  <c r="G67" i="52"/>
  <c r="G53" i="52"/>
  <c r="G39" i="52"/>
  <c r="G25" i="52"/>
  <c r="G11" i="52"/>
  <c r="D23" i="34"/>
  <c r="D38" i="44"/>
  <c r="E19" i="74"/>
  <c r="E24" i="74" s="1"/>
  <c r="E38" i="44"/>
  <c r="F4" i="46"/>
  <c r="G4" i="46" s="1"/>
  <c r="D42" i="44" l="1"/>
  <c r="F19" i="44" l="1"/>
  <c r="F18" i="44"/>
  <c r="F15" i="44"/>
  <c r="D10" i="76"/>
  <c r="F24" i="34"/>
  <c r="F34" i="34"/>
  <c r="F19" i="34"/>
  <c r="F18" i="34"/>
  <c r="E14" i="34"/>
  <c r="E13" i="34"/>
  <c r="E12" i="34"/>
  <c r="E11" i="34"/>
  <c r="E10" i="34"/>
  <c r="E19" i="86"/>
  <c r="E15" i="86"/>
  <c r="E14" i="86"/>
  <c r="E11" i="86"/>
  <c r="H24" i="85"/>
  <c r="E18" i="85"/>
  <c r="E16" i="85"/>
  <c r="E15" i="85"/>
  <c r="E14" i="85"/>
  <c r="E11" i="85"/>
  <c r="E10" i="85"/>
  <c r="E6" i="85"/>
  <c r="H24" i="66"/>
  <c r="E18" i="66"/>
  <c r="E16" i="66"/>
  <c r="E15" i="66"/>
  <c r="E14" i="66"/>
  <c r="E11" i="66"/>
  <c r="E10" i="66"/>
  <c r="E6" i="66"/>
  <c r="E13" i="87"/>
  <c r="E12" i="87"/>
  <c r="E6" i="87"/>
  <c r="E14" i="84"/>
  <c r="E13" i="84"/>
  <c r="E12" i="84"/>
  <c r="E6" i="84"/>
  <c r="E19" i="83"/>
  <c r="E15" i="83"/>
  <c r="E14" i="83"/>
  <c r="E13" i="83"/>
  <c r="E6" i="83"/>
  <c r="E13" i="59"/>
  <c r="E12" i="59"/>
  <c r="E6" i="59"/>
  <c r="E8" i="36"/>
  <c r="E12" i="38"/>
  <c r="E11" i="38"/>
  <c r="H23" i="82"/>
  <c r="H18" i="82"/>
  <c r="E14" i="82"/>
  <c r="E13" i="82"/>
  <c r="E12" i="82"/>
  <c r="E11" i="82"/>
  <c r="E7" i="82"/>
  <c r="H25" i="76"/>
  <c r="H20" i="76"/>
  <c r="E16" i="76"/>
  <c r="E15" i="76"/>
  <c r="E14" i="76"/>
  <c r="E13" i="76"/>
  <c r="E7" i="76"/>
  <c r="H12" i="73"/>
  <c r="H11" i="73"/>
  <c r="E13" i="75"/>
  <c r="E12" i="75"/>
  <c r="E8" i="75"/>
  <c r="E15" i="74"/>
  <c r="E14" i="74"/>
  <c r="E13" i="74"/>
  <c r="E19" i="55"/>
  <c r="E18" i="55"/>
  <c r="H17" i="72"/>
  <c r="H19" i="68"/>
  <c r="G15" i="68"/>
  <c r="D9" i="34"/>
  <c r="B1" i="34"/>
  <c r="F22" i="44" l="1"/>
  <c r="E9" i="34"/>
  <c r="D21" i="55"/>
  <c r="D23" i="55" l="1"/>
  <c r="D6" i="55"/>
  <c r="K3" i="55" s="1"/>
  <c r="E15" i="34"/>
  <c r="E7" i="34"/>
  <c r="E6" i="55" l="1"/>
  <c r="G18" i="44"/>
  <c r="D22" i="87"/>
  <c r="F22" i="87" s="1"/>
  <c r="E7" i="87"/>
  <c r="D9" i="87"/>
  <c r="E9" i="87" s="1"/>
  <c r="B1" i="87"/>
  <c r="E8" i="86"/>
  <c r="E7" i="86"/>
  <c r="E10" i="86"/>
  <c r="E9" i="86"/>
  <c r="E18" i="86"/>
  <c r="E13" i="86"/>
  <c r="B1" i="86"/>
  <c r="E7" i="85"/>
  <c r="G21" i="44" l="1"/>
  <c r="F21" i="44"/>
  <c r="H21" i="85"/>
  <c r="E17" i="85"/>
  <c r="E12" i="85"/>
  <c r="B1" i="85"/>
  <c r="G19" i="44"/>
  <c r="E17" i="66"/>
  <c r="E12" i="66"/>
  <c r="E7" i="66"/>
  <c r="G17" i="44" l="1"/>
  <c r="F17" i="44"/>
  <c r="E9" i="85"/>
  <c r="G15" i="44"/>
  <c r="E15" i="84"/>
  <c r="E7" i="84"/>
  <c r="B1" i="84"/>
  <c r="D23" i="83"/>
  <c r="F23" i="83" s="1"/>
  <c r="E16" i="83"/>
  <c r="G20" i="44" l="1"/>
  <c r="F20" i="44"/>
  <c r="E9" i="84"/>
  <c r="E18" i="83"/>
  <c r="E7" i="83"/>
  <c r="B1" i="83"/>
  <c r="E7" i="59"/>
  <c r="E16" i="59"/>
  <c r="D22" i="59"/>
  <c r="F22" i="59" l="1"/>
  <c r="F13" i="44"/>
  <c r="G20" i="36"/>
  <c r="E7" i="36"/>
  <c r="E12" i="36"/>
  <c r="E11" i="36"/>
  <c r="E10" i="36"/>
  <c r="E9" i="36"/>
  <c r="E17" i="82"/>
  <c r="E22" i="82" s="1"/>
  <c r="H20" i="82"/>
  <c r="E10" i="82"/>
  <c r="B1" i="82"/>
  <c r="F26" i="38"/>
  <c r="F28" i="38"/>
  <c r="F27" i="38"/>
  <c r="F25" i="38"/>
  <c r="D25" i="38"/>
  <c r="D28" i="38" s="1"/>
  <c r="E14" i="38"/>
  <c r="D9" i="82" l="1"/>
  <c r="E10" i="38"/>
  <c r="E8" i="38"/>
  <c r="F10" i="44" l="1"/>
  <c r="D10" i="33"/>
  <c r="F10" i="33" s="1"/>
  <c r="H22" i="76"/>
  <c r="H22" i="74"/>
  <c r="H19" i="75"/>
  <c r="E12" i="76"/>
  <c r="E11" i="76"/>
  <c r="E19" i="76"/>
  <c r="E24" i="76" s="1"/>
  <c r="F9" i="44" s="1"/>
  <c r="B1" i="76"/>
  <c r="H18" i="75"/>
  <c r="E16" i="75"/>
  <c r="E21" i="75" s="1"/>
  <c r="B1" i="75"/>
  <c r="E16" i="74"/>
  <c r="H21" i="74"/>
  <c r="B1" i="74"/>
  <c r="E15" i="55" l="1"/>
  <c r="E14" i="55"/>
  <c r="E11" i="55"/>
  <c r="E8" i="55"/>
  <c r="H9" i="73" l="1"/>
  <c r="H13" i="73"/>
  <c r="H10" i="73"/>
  <c r="H8" i="73"/>
  <c r="B1" i="73"/>
  <c r="H19" i="72"/>
  <c r="E21" i="72"/>
  <c r="H14" i="72"/>
  <c r="H13" i="72"/>
  <c r="G13" i="72"/>
  <c r="H12" i="72"/>
  <c r="H11" i="72"/>
  <c r="H10" i="72"/>
  <c r="H9" i="72"/>
  <c r="H8" i="72"/>
  <c r="H6" i="72"/>
  <c r="B1" i="72"/>
  <c r="H21" i="68"/>
  <c r="E23" i="68"/>
  <c r="E24" i="68" s="1"/>
  <c r="H15" i="68"/>
  <c r="H16" i="68"/>
  <c r="H14" i="68"/>
  <c r="H13" i="68"/>
  <c r="H12" i="68"/>
  <c r="E26" i="68" l="1"/>
  <c r="E22" i="72"/>
  <c r="H11" i="68"/>
  <c r="H10" i="68"/>
  <c r="H8" i="68"/>
  <c r="B1" i="68"/>
  <c r="H8" i="52"/>
  <c r="H7" i="52"/>
  <c r="H6" i="52"/>
  <c r="H5" i="52"/>
  <c r="H21" i="66"/>
  <c r="D9" i="66"/>
  <c r="E9" i="66" s="1"/>
  <c r="B1" i="66"/>
  <c r="F5" i="44" l="1"/>
  <c r="E24" i="72"/>
  <c r="B1" i="38"/>
  <c r="B1" i="59"/>
  <c r="B1" i="36"/>
  <c r="B1" i="33"/>
  <c r="B1" i="52"/>
  <c r="B1" i="55"/>
  <c r="D20" i="59"/>
  <c r="D23" i="59" s="1"/>
  <c r="E9" i="59"/>
  <c r="F8" i="44" l="1"/>
  <c r="E10" i="83"/>
  <c r="F11" i="44"/>
  <c r="E39" i="44"/>
  <c r="F24" i="38" l="1"/>
  <c r="F12" i="44"/>
  <c r="E42" i="44"/>
  <c r="F16" i="44"/>
  <c r="D13" i="52" l="1"/>
  <c r="G16" i="44"/>
  <c r="D22" i="83" l="1"/>
  <c r="D24" i="83" s="1"/>
  <c r="F25" i="83" s="1"/>
  <c r="H13" i="52" l="1"/>
  <c r="F39" i="44" l="1"/>
  <c r="B13" i="43" l="1"/>
  <c r="B7" i="43" l="1"/>
  <c r="B10" i="43" s="1"/>
  <c r="B14" i="43" l="1"/>
  <c r="B15" i="43"/>
  <c r="F7" i="46" s="1"/>
  <c r="G7" i="46" s="1"/>
  <c r="H38" i="28"/>
  <c r="G22" i="44" l="1"/>
  <c r="G39" i="44" s="1"/>
  <c r="C13" i="52"/>
  <c r="F13" i="52"/>
  <c r="G42" i="44" l="1"/>
  <c r="F10" i="46" s="1"/>
  <c r="G13" i="52"/>
  <c r="F6" i="44"/>
  <c r="G10" i="46" l="1"/>
  <c r="K2" i="52" l="1"/>
  <c r="F4" i="44" s="1"/>
  <c r="F38" i="44" s="1"/>
  <c r="F42" i="44" s="1"/>
  <c r="F5" i="46" s="1"/>
  <c r="G5" i="46" s="1"/>
  <c r="F6" i="46" l="1"/>
  <c r="F11" i="46"/>
  <c r="F12" i="46" s="1"/>
  <c r="F8" i="46"/>
  <c r="B9" i="46" s="1"/>
  <c r="G11" i="46" l="1"/>
  <c r="H11" i="46"/>
</calcChain>
</file>

<file path=xl/sharedStrings.xml><?xml version="1.0" encoding="utf-8"?>
<sst xmlns="http://schemas.openxmlformats.org/spreadsheetml/2006/main" count="13294" uniqueCount="723">
  <si>
    <t>#</t>
  </si>
  <si>
    <t>Reported Value</t>
  </si>
  <si>
    <t>cf</t>
  </si>
  <si>
    <t>af</t>
  </si>
  <si>
    <t>Total Water Quality Volume (WQv) Required</t>
  </si>
  <si>
    <t>Total RRV Provided</t>
  </si>
  <si>
    <t>Is RRv Provided ≥WQv Required?</t>
  </si>
  <si>
    <t>Minimum RRv</t>
  </si>
  <si>
    <t>Is RRv Provided ≥ Minimum RRv Required?</t>
  </si>
  <si>
    <t>Total WQv Treated</t>
  </si>
  <si>
    <t>Sum of Volume Reduced &amp; Treated</t>
  </si>
  <si>
    <t>Is Sum RRv Provided and WQv Provided  ≥WQv Required?</t>
  </si>
  <si>
    <t>Practice</t>
  </si>
  <si>
    <t>Description</t>
  </si>
  <si>
    <t>Applicable</t>
  </si>
  <si>
    <t>Project Specific Evaluation</t>
  </si>
  <si>
    <t>Preservation of Natural Features and Conservation Design</t>
  </si>
  <si>
    <t>Preservation of Undisturbed Areas</t>
  </si>
  <si>
    <t>Delineate and protect undisturbed forests, native vegetated areas, riparian corridors, water bodies, wetlands, and natural terrain.</t>
  </si>
  <si>
    <r>
      <t xml:space="preserve">EXAMPLES - Approximately </t>
    </r>
    <r>
      <rPr>
        <sz val="10"/>
        <color rgb="FFFF0000"/>
        <rFont val="Arial"/>
        <family val="2"/>
      </rPr>
      <t>XX</t>
    </r>
    <r>
      <rPr>
        <sz val="10"/>
        <color theme="1"/>
        <rFont val="Arial"/>
        <family val="2"/>
      </rPr>
      <t xml:space="preserve">+/- Acres of land will remain undisturbed, in its natural state, which accounts for </t>
    </r>
    <r>
      <rPr>
        <sz val="10"/>
        <color rgb="FFFF0000"/>
        <rFont val="Arial"/>
        <family val="2"/>
      </rPr>
      <t>XX</t>
    </r>
    <r>
      <rPr>
        <sz val="10"/>
        <color theme="1"/>
        <rFont val="Arial"/>
        <family val="2"/>
      </rPr>
      <t xml:space="preserve">% of the total project parcel. </t>
    </r>
    <r>
      <rPr>
        <b/>
        <sz val="10"/>
        <color theme="1"/>
        <rFont val="Arial"/>
        <family val="2"/>
      </rPr>
      <t xml:space="preserve">OR </t>
    </r>
    <r>
      <rPr>
        <sz val="10"/>
        <color theme="1"/>
        <rFont val="Arial"/>
        <family val="2"/>
      </rPr>
      <t>The project does not propose permanent conservation of this area at this time.</t>
    </r>
  </si>
  <si>
    <t>Preservation of Buffers</t>
  </si>
  <si>
    <t>Delineate and protect naturally vegetated buffers along perennial streams, rivers, shorelines, and wetlands.</t>
  </si>
  <si>
    <r>
      <t xml:space="preserve">EXAMPLES - There is a </t>
    </r>
    <r>
      <rPr>
        <sz val="10"/>
        <color rgb="FFFF0000"/>
        <rFont val="Arial"/>
        <family val="2"/>
      </rPr>
      <t>stream/river/shorline/wetland</t>
    </r>
    <r>
      <rPr>
        <sz val="10"/>
        <color theme="1"/>
        <rFont val="Arial"/>
        <family val="2"/>
      </rPr>
      <t xml:space="preserve"> located on the project site. For the area adjacent to this water body, a </t>
    </r>
    <r>
      <rPr>
        <sz val="10"/>
        <color rgb="FFFF0000"/>
        <rFont val="Arial"/>
        <family val="2"/>
      </rPr>
      <t>XX-ft</t>
    </r>
    <r>
      <rPr>
        <sz val="10"/>
        <color theme="1"/>
        <rFont val="Arial"/>
        <family val="2"/>
      </rPr>
      <t xml:space="preserve"> naturally vegetated buffer will be applied. No disturbance will occur within this buffer. </t>
    </r>
    <r>
      <rPr>
        <b/>
        <sz val="10"/>
        <color theme="1"/>
        <rFont val="Arial"/>
        <family val="2"/>
      </rPr>
      <t>OR</t>
    </r>
    <r>
      <rPr>
        <sz val="10"/>
        <color theme="1"/>
        <rFont val="Arial"/>
        <family val="2"/>
      </rPr>
      <t xml:space="preserve"> The only disturbance that will occur within this buffer will include </t>
    </r>
    <r>
      <rPr>
        <sz val="10"/>
        <color rgb="FFFF0000"/>
        <rFont val="Arial"/>
        <family val="2"/>
      </rPr>
      <t>XX</t>
    </r>
    <r>
      <rPr>
        <sz val="10"/>
        <color theme="1"/>
        <rFont val="Arial"/>
        <family val="2"/>
      </rPr>
      <t xml:space="preserve">. This disturbance is necessary because </t>
    </r>
    <r>
      <rPr>
        <sz val="10"/>
        <color rgb="FFFF0000"/>
        <rFont val="Arial"/>
        <family val="2"/>
      </rPr>
      <t>XX</t>
    </r>
    <r>
      <rPr>
        <sz val="10"/>
        <color theme="1"/>
        <rFont val="Arial"/>
        <family val="2"/>
      </rPr>
      <t xml:space="preserve">. </t>
    </r>
    <r>
      <rPr>
        <b/>
        <sz val="10"/>
        <color theme="1"/>
        <rFont val="Arial"/>
        <family val="2"/>
      </rPr>
      <t>OR</t>
    </r>
    <r>
      <rPr>
        <sz val="10"/>
        <color theme="1"/>
        <rFont val="Arial"/>
        <family val="2"/>
      </rPr>
      <t xml:space="preserve"> There are no water bodies located on or adjacent to the project site.</t>
    </r>
  </si>
  <si>
    <t>Reduction of Clearing and Grading</t>
  </si>
  <si>
    <t>Limit clearing and grading to the minimum amount needed for roads, driveways, foundations, utilities and stormwater management facilities.</t>
  </si>
  <si>
    <t>EXAMPLES - Clearing and grading will be limited to the area of disturbance and will be minimized to the greatest extent practical. The limits of all proposed clearing will be demarcated in the field with orange construction fencing, prior to construction, to prevent unnecessary removal of trees.</t>
  </si>
  <si>
    <t>Locating Development in Less Sensitive Areas</t>
  </si>
  <si>
    <t>Avoid sensitive resource areas such as floodplains, steep slopes, erodible soils, wetlands, mature forests and critical habitats by locating development to fit the terrain in areas that will create the least impact.</t>
  </si>
  <si>
    <r>
      <t xml:space="preserve">EXAMPLES - The site has been designed to avoid sensitive resource areas to the greatest extent practical. </t>
    </r>
    <r>
      <rPr>
        <sz val="10"/>
        <color rgb="FFFF0000"/>
        <rFont val="Arial"/>
        <family val="2"/>
      </rPr>
      <t>Include project specific information for the various sensitive resources</t>
    </r>
    <r>
      <rPr>
        <sz val="10"/>
        <color theme="1"/>
        <rFont val="Arial"/>
        <family val="2"/>
      </rPr>
      <t xml:space="preserve">. </t>
    </r>
    <r>
      <rPr>
        <b/>
        <sz val="10"/>
        <color theme="1"/>
        <rFont val="Arial"/>
        <family val="2"/>
      </rPr>
      <t>OR</t>
    </r>
    <r>
      <rPr>
        <sz val="10"/>
        <color theme="1"/>
        <rFont val="Arial"/>
        <family val="2"/>
      </rPr>
      <t xml:space="preserve"> There are no floodplains, steep slopes, erodible soils, wetlands, mature forests or critical habitats located on the project site.</t>
    </r>
  </si>
  <si>
    <t>Open Space Design</t>
  </si>
  <si>
    <t>Use clustering, conservation design or open space design to reduce impervious cover, preserve more open space and protect water resources.</t>
  </si>
  <si>
    <r>
      <t xml:space="preserve">EXAMPLES - The site layout has been designed to maximize open space. Impervious surfaces have been minimized to the greatest extent practical and approximately </t>
    </r>
    <r>
      <rPr>
        <sz val="10"/>
        <color rgb="FFFF0000"/>
        <rFont val="Arial"/>
        <family val="2"/>
      </rPr>
      <t>XX</t>
    </r>
    <r>
      <rPr>
        <sz val="10"/>
        <color theme="1"/>
        <rFont val="Arial"/>
        <family val="2"/>
      </rPr>
      <t xml:space="preserve">+/- Acres will be maintained as vegetated open space. </t>
    </r>
  </si>
  <si>
    <t>Soil Restoration</t>
  </si>
  <si>
    <t>Restore the original properties and porosity of the soil by deep till and amendment with compost to reduce the generation of runoff and enhance the runoff reduction performance of post construction practices.</t>
  </si>
  <si>
    <r>
      <t xml:space="preserve">EXAMPLES - All disturbed areas will be restored in accordance with the Soil Restoration requirements in Table 5.3 of the Design Manual. </t>
    </r>
    <r>
      <rPr>
        <b/>
        <sz val="10"/>
        <color theme="1"/>
        <rFont val="Arial"/>
        <family val="2"/>
      </rPr>
      <t>OR</t>
    </r>
    <r>
      <rPr>
        <sz val="10"/>
        <color theme="1"/>
        <rFont val="Arial"/>
        <family val="2"/>
      </rPr>
      <t xml:space="preserve"> Compacted areas were considered as impervious cover when calculating the WQv Required and the compacted areas were assigned a post-construction HSG designation that is one level less permeable than existing conditions for the hydrology analysis.</t>
    </r>
  </si>
  <si>
    <t>Reduction of Impervious Cover</t>
  </si>
  <si>
    <t>Roadway Reduction</t>
  </si>
  <si>
    <t>Minimize roadway widths and lengths, below local requirements, to reduce site impervious area</t>
  </si>
  <si>
    <r>
      <t xml:space="preserve">EXAMPLES - Proposed roadways will be constructed with a porous </t>
    </r>
    <r>
      <rPr>
        <sz val="10"/>
        <color rgb="FFFF0000"/>
        <rFont val="Arial"/>
        <family val="2"/>
      </rPr>
      <t>XX</t>
    </r>
    <r>
      <rPr>
        <sz val="10"/>
        <color theme="1"/>
        <rFont val="Arial"/>
        <family val="2"/>
      </rPr>
      <t xml:space="preserve"> surface, in order to minimize the overall impervious surface. </t>
    </r>
    <r>
      <rPr>
        <b/>
        <sz val="10"/>
        <color theme="1"/>
        <rFont val="Arial"/>
        <family val="2"/>
      </rPr>
      <t>OR</t>
    </r>
    <r>
      <rPr>
        <sz val="10"/>
        <color theme="1"/>
        <rFont val="Arial"/>
        <family val="2"/>
      </rPr>
      <t xml:space="preserve"> The project proposes to reduce the roadway width to </t>
    </r>
    <r>
      <rPr>
        <sz val="10"/>
        <color rgb="FFFF0000"/>
        <rFont val="Arial"/>
        <family val="2"/>
      </rPr>
      <t>XX-ft</t>
    </r>
    <r>
      <rPr>
        <sz val="10"/>
        <color theme="1"/>
        <rFont val="Arial"/>
        <family val="2"/>
      </rPr>
      <t xml:space="preserve">, from the required </t>
    </r>
    <r>
      <rPr>
        <sz val="10"/>
        <color rgb="FFFF0000"/>
        <rFont val="Arial"/>
        <family val="2"/>
      </rPr>
      <t>XX-ft</t>
    </r>
    <r>
      <rPr>
        <sz val="10"/>
        <color theme="1"/>
        <rFont val="Arial"/>
        <family val="2"/>
      </rPr>
      <t xml:space="preserve">. </t>
    </r>
    <r>
      <rPr>
        <b/>
        <sz val="10"/>
        <color theme="1"/>
        <rFont val="Arial"/>
        <family val="2"/>
      </rPr>
      <t>OR</t>
    </r>
    <r>
      <rPr>
        <sz val="10"/>
        <color theme="1"/>
        <rFont val="Arial"/>
        <family val="2"/>
      </rPr>
      <t xml:space="preserve"> Reducing the roadway width is not feasible for the project's intended use. </t>
    </r>
    <r>
      <rPr>
        <b/>
        <sz val="10"/>
        <color theme="1"/>
        <rFont val="Arial"/>
        <family val="2"/>
      </rPr>
      <t>OR</t>
    </r>
    <r>
      <rPr>
        <sz val="10"/>
        <color theme="1"/>
        <rFont val="Arial"/>
        <family val="2"/>
      </rPr>
      <t xml:space="preserve"> No new roadways are proposed as part of this project.</t>
    </r>
  </si>
  <si>
    <t>Sidewalk Reduction</t>
  </si>
  <si>
    <t>Minimize sidewalk lengths and widths, below local requirements, to reduce site impervious area</t>
  </si>
  <si>
    <r>
      <t xml:space="preserve">EXAMPLES - All pedestrian walkways will be constructed with a porous </t>
    </r>
    <r>
      <rPr>
        <sz val="10"/>
        <color rgb="FFFF0000"/>
        <rFont val="Arial"/>
        <family val="2"/>
      </rPr>
      <t>XX</t>
    </r>
    <r>
      <rPr>
        <sz val="10"/>
        <color theme="1"/>
        <rFont val="Arial"/>
        <family val="2"/>
      </rPr>
      <t xml:space="preserve"> surface. </t>
    </r>
    <r>
      <rPr>
        <b/>
        <sz val="10"/>
        <color theme="1"/>
        <rFont val="Arial"/>
        <family val="2"/>
      </rPr>
      <t>OR</t>
    </r>
    <r>
      <rPr>
        <sz val="10"/>
        <color theme="1"/>
        <rFont val="Arial"/>
        <family val="2"/>
      </rPr>
      <t xml:space="preserve"> Sidewalk widths have been minimized to </t>
    </r>
    <r>
      <rPr>
        <sz val="10"/>
        <color rgb="FFFF0000"/>
        <rFont val="Arial"/>
        <family val="2"/>
      </rPr>
      <t>X-ft</t>
    </r>
    <r>
      <rPr>
        <sz val="10"/>
        <color theme="1"/>
        <rFont val="Arial"/>
        <family val="2"/>
      </rPr>
      <t xml:space="preserve"> and quantity of sidewalk has been reduced to that required to ensure safe pedestrian access throughout the site. </t>
    </r>
    <r>
      <rPr>
        <b/>
        <sz val="10"/>
        <color theme="1"/>
        <rFont val="Arial"/>
        <family val="2"/>
      </rPr>
      <t>OR</t>
    </r>
    <r>
      <rPr>
        <sz val="10"/>
        <color theme="1"/>
        <rFont val="Arial"/>
        <family val="2"/>
      </rPr>
      <t xml:space="preserve"> Reducing the sidewalk width/length is not feasible for the project's intended use. </t>
    </r>
    <r>
      <rPr>
        <b/>
        <sz val="10"/>
        <color theme="1"/>
        <rFont val="Arial"/>
        <family val="2"/>
      </rPr>
      <t>OR</t>
    </r>
    <r>
      <rPr>
        <sz val="10"/>
        <color theme="1"/>
        <rFont val="Arial"/>
        <family val="2"/>
      </rPr>
      <t xml:space="preserve"> No new sidewalks are proposed as part of this project.</t>
    </r>
  </si>
  <si>
    <t>Driveway Reduction</t>
  </si>
  <si>
    <t>Minimize driveway lengths and widths, below local requirements, to reduce site impervious area</t>
  </si>
  <si>
    <r>
      <t xml:space="preserve">EXAMPLES - All driveways on-site will be constructed with a permeable </t>
    </r>
    <r>
      <rPr>
        <sz val="10"/>
        <color rgb="FFFF0000"/>
        <rFont val="Arial"/>
        <family val="2"/>
      </rPr>
      <t>XX</t>
    </r>
    <r>
      <rPr>
        <sz val="10"/>
        <color theme="1"/>
        <rFont val="Arial"/>
        <family val="2"/>
      </rPr>
      <t xml:space="preserve"> surface, where feasible, in order to minimize the overall impervious surface. </t>
    </r>
    <r>
      <rPr>
        <b/>
        <sz val="10"/>
        <color theme="1"/>
        <rFont val="Arial"/>
        <family val="2"/>
      </rPr>
      <t xml:space="preserve">OR </t>
    </r>
    <r>
      <rPr>
        <sz val="10"/>
        <color theme="1"/>
        <rFont val="Arial"/>
        <family val="2"/>
      </rPr>
      <t xml:space="preserve">The project proposes to reduce the driveway width to </t>
    </r>
    <r>
      <rPr>
        <sz val="10"/>
        <color rgb="FFFF0000"/>
        <rFont val="Arial"/>
        <family val="2"/>
      </rPr>
      <t>XX-ft</t>
    </r>
    <r>
      <rPr>
        <sz val="10"/>
        <color theme="1"/>
        <rFont val="Arial"/>
        <family val="2"/>
      </rPr>
      <t xml:space="preserve">, instead of the required </t>
    </r>
    <r>
      <rPr>
        <sz val="10"/>
        <color rgb="FFFF0000"/>
        <rFont val="Arial"/>
        <family val="2"/>
      </rPr>
      <t>XX-ft</t>
    </r>
    <r>
      <rPr>
        <sz val="10"/>
        <color theme="1"/>
        <rFont val="Arial"/>
        <family val="2"/>
      </rPr>
      <t xml:space="preserve">. </t>
    </r>
    <r>
      <rPr>
        <b/>
        <sz val="10"/>
        <color theme="1"/>
        <rFont val="Arial"/>
        <family val="2"/>
      </rPr>
      <t>OR</t>
    </r>
    <r>
      <rPr>
        <sz val="10"/>
        <color theme="1"/>
        <rFont val="Arial"/>
        <family val="2"/>
      </rPr>
      <t xml:space="preserve"> Reducing the driveway width is not feasible for the intended use. </t>
    </r>
    <r>
      <rPr>
        <b/>
        <sz val="10"/>
        <color theme="1"/>
        <rFont val="Arial"/>
        <family val="2"/>
      </rPr>
      <t>OR</t>
    </r>
    <r>
      <rPr>
        <sz val="10"/>
        <color theme="1"/>
        <rFont val="Arial"/>
        <family val="2"/>
      </rPr>
      <t xml:space="preserve"> No new driveways are proposed as part of this project.</t>
    </r>
  </si>
  <si>
    <t>Cul-de-sac Reduction</t>
  </si>
  <si>
    <t>Minimize the number of cul-de-sacs and incorporate landscaped areas to reduce their impervious cover.</t>
  </si>
  <si>
    <r>
      <t xml:space="preserve">EXAMPLES - Proposed cul-de-sacs will utilize a landscaped island to reduce impervious cover. </t>
    </r>
    <r>
      <rPr>
        <b/>
        <sz val="10"/>
        <color theme="1"/>
        <rFont val="Arial"/>
        <family val="2"/>
      </rPr>
      <t>OR</t>
    </r>
    <r>
      <rPr>
        <sz val="10"/>
        <color theme="1"/>
        <rFont val="Arial"/>
        <family val="2"/>
      </rPr>
      <t xml:space="preserve"> No cul-de-sacs are proposed as part of this project. </t>
    </r>
  </si>
  <si>
    <t>Building Footprint Reduction</t>
  </si>
  <si>
    <t>Reduce the impervious footprint of residences and commercial buildings by using alternate or taller buildings while maintaining the same floor to area ratio.</t>
  </si>
  <si>
    <r>
      <t xml:space="preserve">EXAMPLES - All new building area has been allocated to efficiently implement the intended use. </t>
    </r>
    <r>
      <rPr>
        <b/>
        <sz val="10"/>
        <color theme="1"/>
        <rFont val="Arial"/>
        <family val="2"/>
      </rPr>
      <t>OR</t>
    </r>
    <r>
      <rPr>
        <sz val="10"/>
        <color theme="1"/>
        <rFont val="Arial"/>
        <family val="2"/>
      </rPr>
      <t xml:space="preserve"> No new buildings are proposed as part of this project. </t>
    </r>
    <r>
      <rPr>
        <b/>
        <sz val="10"/>
        <color theme="1"/>
        <rFont val="Arial"/>
        <family val="2"/>
      </rPr>
      <t>OR</t>
    </r>
    <r>
      <rPr>
        <sz val="10"/>
        <color theme="1"/>
        <rFont val="Arial"/>
        <family val="2"/>
      </rPr>
      <t xml:space="preserve"> The current proposal involves the renovation and reuse of </t>
    </r>
    <r>
      <rPr>
        <sz val="10"/>
        <color rgb="FFFF0000"/>
        <rFont val="Arial"/>
        <family val="2"/>
      </rPr>
      <t>XX</t>
    </r>
    <r>
      <rPr>
        <sz val="10"/>
        <color theme="1"/>
        <rFont val="Arial"/>
        <family val="2"/>
      </rPr>
      <t xml:space="preserve"> existing buildings on-site. </t>
    </r>
  </si>
  <si>
    <t>Parking Reduction</t>
  </si>
  <si>
    <t>Reduce imperviousness on parking lots by eliminating unneeded spaces, providing compact car spaces and efficient parking lanes, reducing stall dimensions below local requirements, using porous pavement surfaces in overflow parking areas, and using multi-storied parking decks where appropriate.</t>
  </si>
  <si>
    <r>
      <t xml:space="preserve">EXAMPLES - All parking lots will be constructed of a porous </t>
    </r>
    <r>
      <rPr>
        <sz val="10"/>
        <color rgb="FFFF0000"/>
        <rFont val="Arial"/>
        <family val="2"/>
      </rPr>
      <t>XX</t>
    </r>
    <r>
      <rPr>
        <sz val="10"/>
        <color theme="1"/>
        <rFont val="Arial"/>
        <family val="2"/>
      </rPr>
      <t xml:space="preserve"> surface, to reduce overall impervious surfaces. </t>
    </r>
    <r>
      <rPr>
        <b/>
        <sz val="10"/>
        <color theme="1"/>
        <rFont val="Arial"/>
        <family val="2"/>
      </rPr>
      <t>OR</t>
    </r>
    <r>
      <rPr>
        <sz val="10"/>
        <color theme="1"/>
        <rFont val="Arial"/>
        <family val="2"/>
      </rPr>
      <t xml:space="preserve"> The project proposes to reduce the parking stall dimensions to </t>
    </r>
    <r>
      <rPr>
        <sz val="10"/>
        <color rgb="FFFF0000"/>
        <rFont val="Arial"/>
        <family val="2"/>
      </rPr>
      <t>X-ft</t>
    </r>
    <r>
      <rPr>
        <sz val="10"/>
        <color theme="1"/>
        <rFont val="Arial"/>
        <family val="2"/>
      </rPr>
      <t xml:space="preserve"> wide by </t>
    </r>
    <r>
      <rPr>
        <sz val="10"/>
        <color rgb="FFFF0000"/>
        <rFont val="Arial"/>
        <family val="2"/>
      </rPr>
      <t>XX-ft</t>
    </r>
    <r>
      <rPr>
        <sz val="10"/>
        <color theme="1"/>
        <rFont val="Arial"/>
        <family val="2"/>
      </rPr>
      <t xml:space="preserve"> long, instead of the required </t>
    </r>
    <r>
      <rPr>
        <sz val="10"/>
        <color rgb="FFFF0000"/>
        <rFont val="Arial"/>
        <family val="2"/>
      </rPr>
      <t>XX-ft</t>
    </r>
    <r>
      <rPr>
        <sz val="10"/>
        <color theme="1"/>
        <rFont val="Arial"/>
        <family val="2"/>
      </rPr>
      <t xml:space="preserve"> by </t>
    </r>
    <r>
      <rPr>
        <sz val="10"/>
        <color rgb="FFFF0000"/>
        <rFont val="Arial"/>
        <family val="2"/>
      </rPr>
      <t>XX-ft</t>
    </r>
    <r>
      <rPr>
        <sz val="10"/>
        <color theme="1"/>
        <rFont val="Arial"/>
        <family val="2"/>
      </rPr>
      <t xml:space="preserve"> stall. </t>
    </r>
    <r>
      <rPr>
        <b/>
        <sz val="10"/>
        <color theme="1"/>
        <rFont val="Arial"/>
        <family val="2"/>
      </rPr>
      <t>OR</t>
    </r>
    <r>
      <rPr>
        <sz val="10"/>
        <color theme="1"/>
        <rFont val="Arial"/>
        <family val="2"/>
      </rPr>
      <t xml:space="preserve"> The project proposes to reduce the number of parking stalls proposed to </t>
    </r>
    <r>
      <rPr>
        <sz val="10"/>
        <color rgb="FFFF0000"/>
        <rFont val="Arial"/>
        <family val="2"/>
      </rPr>
      <t>XX</t>
    </r>
    <r>
      <rPr>
        <sz val="10"/>
        <rFont val="Arial"/>
        <family val="2"/>
      </rPr>
      <t xml:space="preserve">, instead of the required </t>
    </r>
    <r>
      <rPr>
        <sz val="10"/>
        <color rgb="FFFF0000"/>
        <rFont val="Arial"/>
        <family val="2"/>
      </rPr>
      <t>XX</t>
    </r>
    <r>
      <rPr>
        <sz val="10"/>
        <rFont val="Arial"/>
        <family val="2"/>
      </rPr>
      <t xml:space="preserve">, resulting in an approximate </t>
    </r>
    <r>
      <rPr>
        <sz val="10"/>
        <color rgb="FFFF0000"/>
        <rFont val="Arial"/>
        <family val="2"/>
      </rPr>
      <t>XX</t>
    </r>
    <r>
      <rPr>
        <sz val="10"/>
        <rFont val="Arial"/>
        <family val="2"/>
      </rPr>
      <t xml:space="preserve">% reduction in impervious. </t>
    </r>
    <r>
      <rPr>
        <b/>
        <sz val="10"/>
        <rFont val="Arial"/>
        <family val="2"/>
      </rPr>
      <t xml:space="preserve">OR </t>
    </r>
    <r>
      <rPr>
        <sz val="10"/>
        <rFont val="Arial"/>
        <family val="2"/>
      </rPr>
      <t xml:space="preserve">Reducing the parking stall dimensions or number of stalls is not feasible for the intended use. </t>
    </r>
    <r>
      <rPr>
        <b/>
        <sz val="10"/>
        <rFont val="Arial"/>
        <family val="2"/>
      </rPr>
      <t>OR</t>
    </r>
    <r>
      <rPr>
        <sz val="10"/>
        <rFont val="Arial"/>
        <family val="2"/>
      </rPr>
      <t xml:space="preserve"> No new parking stalls are proposed as part of this project.</t>
    </r>
  </si>
  <si>
    <t>Is this project subject to Section 4.3 of the NYS Design Manual for Enhanced Phosphorus Removal?</t>
  </si>
  <si>
    <t>What is the nature of this construction project?</t>
  </si>
  <si>
    <t>Design Point:</t>
  </si>
  <si>
    <t>P=</t>
  </si>
  <si>
    <t>inches</t>
  </si>
  <si>
    <t>Calculate Required WQv</t>
  </si>
  <si>
    <t>Drainage Area Number</t>
  </si>
  <si>
    <r>
      <t xml:space="preserve">Contributing Area
</t>
    </r>
    <r>
      <rPr>
        <sz val="10"/>
        <color theme="1"/>
        <rFont val="Arial"/>
        <family val="2"/>
      </rPr>
      <t>(Acres)</t>
    </r>
  </si>
  <si>
    <r>
      <t xml:space="preserve">Impervious Area
</t>
    </r>
    <r>
      <rPr>
        <sz val="10"/>
        <color theme="1"/>
        <rFont val="Arial"/>
        <family val="2"/>
      </rPr>
      <t>(Acres)</t>
    </r>
  </si>
  <si>
    <r>
      <t xml:space="preserve">Percent Impervious
</t>
    </r>
    <r>
      <rPr>
        <sz val="10"/>
        <color theme="1"/>
        <rFont val="Arial"/>
        <family val="2"/>
      </rPr>
      <t>%</t>
    </r>
  </si>
  <si>
    <t>Rv</t>
  </si>
  <si>
    <r>
      <t xml:space="preserve">WQv
</t>
    </r>
    <r>
      <rPr>
        <sz val="10"/>
        <color theme="1"/>
        <rFont val="Arial"/>
        <family val="2"/>
      </rPr>
      <t>(cf)</t>
    </r>
  </si>
  <si>
    <t>SMP Description</t>
  </si>
  <si>
    <t>Total</t>
  </si>
  <si>
    <t>Required WQv</t>
  </si>
  <si>
    <t>Runoff Reduction Volume and Treated Volumes</t>
  </si>
  <si>
    <t>Runoff Reduction Techiques/Standard SMPs</t>
  </si>
  <si>
    <t xml:space="preserve">Total Contributing Area </t>
  </si>
  <si>
    <t>Total Contributing Impervious Area</t>
  </si>
  <si>
    <t>WQv Reduced (RRv)</t>
  </si>
  <si>
    <t>WQv Treated</t>
  </si>
  <si>
    <t>(acres)</t>
  </si>
  <si>
    <t>(cf)</t>
  </si>
  <si>
    <t>RR Techniques</t>
  </si>
  <si>
    <t xml:space="preserve">Conservation of Natural Areas </t>
  </si>
  <si>
    <t>RR-1</t>
  </si>
  <si>
    <t>Sheet Flow to Riparian Buffer/Filter Strip</t>
  </si>
  <si>
    <t>RR-2</t>
  </si>
  <si>
    <t>Tree Planting/Tree Pit/Tree Trench</t>
  </si>
  <si>
    <t>RR-3</t>
  </si>
  <si>
    <t>Disconnection of Rooftop Runoff</t>
  </si>
  <si>
    <t>RR-4</t>
  </si>
  <si>
    <t>Vegetated Swale</t>
  </si>
  <si>
    <t>RR-5</t>
  </si>
  <si>
    <t>Rain Garden</t>
  </si>
  <si>
    <t>RR-6</t>
  </si>
  <si>
    <t>Stormwater Planter</t>
  </si>
  <si>
    <t>RR-7</t>
  </si>
  <si>
    <t>Rainwater Harvesting Systems</t>
  </si>
  <si>
    <t>RR-8</t>
  </si>
  <si>
    <t>Porous Pavement</t>
  </si>
  <si>
    <t>RR-9</t>
  </si>
  <si>
    <t>Green Roof (Extensive &amp; Intensive)</t>
  </si>
  <si>
    <t>RR-10</t>
  </si>
  <si>
    <t>Stream Daylighting</t>
  </si>
  <si>
    <t>RR-11</t>
  </si>
  <si>
    <t>Standard SMPs w/ RRv Capacity</t>
  </si>
  <si>
    <t>Infiltration Trench</t>
  </si>
  <si>
    <t>I-1</t>
  </si>
  <si>
    <t>Infiltration Basin</t>
  </si>
  <si>
    <t>I-2</t>
  </si>
  <si>
    <t>Dry Well</t>
  </si>
  <si>
    <t>I-3</t>
  </si>
  <si>
    <t>Underground Infiltration System</t>
  </si>
  <si>
    <t>I-4</t>
  </si>
  <si>
    <t>Infiltration Bioretention</t>
  </si>
  <si>
    <t>F-4</t>
  </si>
  <si>
    <t>Filtration Bioretention</t>
  </si>
  <si>
    <t>F-5</t>
  </si>
  <si>
    <t>Bioslope</t>
  </si>
  <si>
    <t>F-6</t>
  </si>
  <si>
    <t>Dry swale</t>
  </si>
  <si>
    <t>O-1</t>
  </si>
  <si>
    <t xml:space="preserve">Standard SMPs  </t>
  </si>
  <si>
    <t>Micropool Extended Detention</t>
  </si>
  <si>
    <t>P-1</t>
  </si>
  <si>
    <t>Wet Pond</t>
  </si>
  <si>
    <t>P-2</t>
  </si>
  <si>
    <t>Wet Extended Detention</t>
  </si>
  <si>
    <t>P-3</t>
  </si>
  <si>
    <t>Multiple Pond System</t>
  </si>
  <si>
    <t>P-4</t>
  </si>
  <si>
    <t>Shallow Wetland</t>
  </si>
  <si>
    <t>W-1</t>
  </si>
  <si>
    <t>Extended Detention Shallow Wetland</t>
  </si>
  <si>
    <t>W-2</t>
  </si>
  <si>
    <t>Pond/Wetland System</t>
  </si>
  <si>
    <t>W-3</t>
  </si>
  <si>
    <t>Pocket Wetland</t>
  </si>
  <si>
    <t>W-4</t>
  </si>
  <si>
    <t>Gravel Wetland</t>
  </si>
  <si>
    <t>W-5</t>
  </si>
  <si>
    <t>Surface Sand Filter</t>
  </si>
  <si>
    <t>F-1</t>
  </si>
  <si>
    <t>Underground Sand Filter</t>
  </si>
  <si>
    <t>F-2</t>
  </si>
  <si>
    <t>Perimeter Sand Filter</t>
  </si>
  <si>
    <t>F-3</t>
  </si>
  <si>
    <t>Wet Swale</t>
  </si>
  <si>
    <t>O-2</t>
  </si>
  <si>
    <t>Alt. SMPs</t>
  </si>
  <si>
    <t>Flow Based Alternative Practice</t>
  </si>
  <si>
    <t>-</t>
  </si>
  <si>
    <t>Volume Based Alternative Practice</t>
  </si>
  <si>
    <t>Totals by RR Technique</t>
  </si>
  <si>
    <t>→</t>
  </si>
  <si>
    <t>Totals by Standard SMP w/RRV</t>
  </si>
  <si>
    <t>Totals by Standard SMP</t>
  </si>
  <si>
    <t>Totals by Alternative SMP</t>
  </si>
  <si>
    <t>Totals ( RR Techniques + all SMPs)</t>
  </si>
  <si>
    <t>Conservation of Natural Areas (RR-1)</t>
  </si>
  <si>
    <t xml:space="preserve">Retain the pre-development hydrologic and water quality characteristics of undisturbed natural areas by permanently conserving these areas on a site. Undisturbed natural areas include: forest retention areas; reforestation areas; stream and river corridors; shorelines; wetlands, vernal pools, and associated vegetated buffers;  and undisturbed open space. </t>
  </si>
  <si>
    <r>
      <t xml:space="preserve">EXAMPLES - The project site does not contain any significant natural resources. </t>
    </r>
    <r>
      <rPr>
        <b/>
        <sz val="10"/>
        <color theme="1"/>
        <rFont val="Arial"/>
        <family val="2"/>
      </rPr>
      <t>OR</t>
    </r>
    <r>
      <rPr>
        <sz val="10"/>
        <color theme="1"/>
        <rFont val="Arial"/>
        <family val="2"/>
      </rPr>
      <t xml:space="preserve"> As a Redevelopment Project, the proposed site layout has been designed to limit land disturbance to the greatest extent practical. </t>
    </r>
    <r>
      <rPr>
        <b/>
        <sz val="10"/>
        <color theme="1"/>
        <rFont val="Arial"/>
        <family val="2"/>
      </rPr>
      <t>OR</t>
    </r>
    <r>
      <rPr>
        <sz val="10"/>
        <color theme="1"/>
        <rFont val="Arial"/>
        <family val="2"/>
      </rPr>
      <t xml:space="preserve"> Approximately </t>
    </r>
    <r>
      <rPr>
        <sz val="10"/>
        <color rgb="FFFF0000"/>
        <rFont val="Arial"/>
        <family val="2"/>
      </rPr>
      <t>XX</t>
    </r>
    <r>
      <rPr>
        <sz val="10"/>
        <color theme="1"/>
        <rFont val="Arial"/>
        <family val="2"/>
      </rPr>
      <t xml:space="preserve">+/- Acres will be placed into permanent conservation, which accounts for </t>
    </r>
    <r>
      <rPr>
        <sz val="10"/>
        <color rgb="FFFF0000"/>
        <rFont val="Arial"/>
        <family val="2"/>
      </rPr>
      <t>XX</t>
    </r>
    <r>
      <rPr>
        <sz val="10"/>
        <color theme="1"/>
        <rFont val="Arial"/>
        <family val="2"/>
      </rPr>
      <t xml:space="preserve">% of the total property. </t>
    </r>
    <r>
      <rPr>
        <b/>
        <sz val="10"/>
        <color theme="1"/>
        <rFont val="Arial"/>
        <family val="2"/>
      </rPr>
      <t>OR</t>
    </r>
    <r>
      <rPr>
        <sz val="10"/>
        <color theme="1"/>
        <rFont val="Arial"/>
        <family val="2"/>
      </rPr>
      <t xml:space="preserve"> The project does not propose permanent conservation of these areas at this time. </t>
    </r>
  </si>
  <si>
    <t>Sheet Flow to Riparian Buffer/Filter Strip (RR-2)</t>
  </si>
  <si>
    <t>Undisturbed natural areas such as forested conservation areas and stream buffers or vegetated filter strips and riparian buffers can be used to treat and control stormwater runoff from some areas of a development project.</t>
  </si>
  <si>
    <r>
      <t xml:space="preserve">EXAMPLES - The project site does not contain any riparian buffers. </t>
    </r>
    <r>
      <rPr>
        <b/>
        <sz val="10"/>
        <color theme="1"/>
        <rFont val="Arial"/>
        <family val="2"/>
      </rPr>
      <t>OR</t>
    </r>
    <r>
      <rPr>
        <sz val="10"/>
        <color theme="1"/>
        <rFont val="Arial"/>
        <family val="2"/>
      </rPr>
      <t xml:space="preserve"> Sheet flow to riparian buffers or grass filter strips is not proposed at this time. The project proposes treatment by RR techniques, Standard SMPs with RRv capacity, or Standard SMPs without RRv capacity. </t>
    </r>
    <r>
      <rPr>
        <b/>
        <sz val="10"/>
        <color theme="1"/>
        <rFont val="Arial"/>
        <family val="2"/>
      </rPr>
      <t>OR</t>
    </r>
    <r>
      <rPr>
        <sz val="10"/>
        <color theme="1"/>
        <rFont val="Arial"/>
        <family val="2"/>
      </rPr>
      <t xml:space="preserve"> The project proposes sheet flow to riparian buffers to reduce runoff from</t>
    </r>
    <r>
      <rPr>
        <sz val="10"/>
        <color rgb="FFFF0000"/>
        <rFont val="Arial"/>
        <family val="2"/>
      </rPr>
      <t xml:space="preserve"> XX</t>
    </r>
    <r>
      <rPr>
        <sz val="10"/>
        <color theme="1"/>
        <rFont val="Arial"/>
        <family val="2"/>
      </rPr>
      <t xml:space="preserve">. Calculations have been provided in the SWPPP. </t>
    </r>
    <r>
      <rPr>
        <b/>
        <sz val="10"/>
        <color theme="1"/>
        <rFont val="Arial"/>
        <family val="2"/>
      </rPr>
      <t>OR</t>
    </r>
    <r>
      <rPr>
        <sz val="10"/>
        <color theme="1"/>
        <rFont val="Arial"/>
        <family val="2"/>
      </rPr>
      <t xml:space="preserve"> The project proposes sheet flow to grass filter strips to reduce runoff from </t>
    </r>
    <r>
      <rPr>
        <sz val="10"/>
        <color rgb="FFFF0000"/>
        <rFont val="Arial"/>
        <family val="2"/>
      </rPr>
      <t>XX</t>
    </r>
    <r>
      <rPr>
        <sz val="10"/>
        <color theme="1"/>
        <rFont val="Arial"/>
        <family val="2"/>
      </rPr>
      <t>. Calculations have been provided in the SWPPP.</t>
    </r>
  </si>
  <si>
    <t>Tree Planting/Tree Pit/Tree Trench (RR-3)</t>
  </si>
  <si>
    <t>Plant or conserve trees to reduce stormwater runoff, increase nutrient uptake, and provide bank stabilization. Trees can be used for applications such as landscaping, stormwater management practice areas, conservation areas and erosion and sediment control.</t>
  </si>
  <si>
    <r>
      <t xml:space="preserve">EXAMPLES - The project proposes the preservation of existing mature trees, as well as the planting of numerous trees throughout the site, in order to reduce stormwater runoff, increase nutrient uptake, and provide bank stabilization. </t>
    </r>
    <r>
      <rPr>
        <b/>
        <sz val="10"/>
        <color theme="1"/>
        <rFont val="Arial"/>
        <family val="2"/>
      </rPr>
      <t xml:space="preserve">OR </t>
    </r>
    <r>
      <rPr>
        <sz val="10"/>
        <color theme="1"/>
        <rFont val="Arial"/>
        <family val="2"/>
      </rPr>
      <t xml:space="preserve">The project proposes new </t>
    </r>
    <r>
      <rPr>
        <sz val="10"/>
        <color rgb="FFFF0000"/>
        <rFont val="Arial"/>
        <family val="2"/>
      </rPr>
      <t>tree plantings/tree pits/tree trenches</t>
    </r>
    <r>
      <rPr>
        <sz val="10"/>
        <rFont val="Arial"/>
        <family val="2"/>
      </rPr>
      <t xml:space="preserve">, </t>
    </r>
    <r>
      <rPr>
        <sz val="10"/>
        <color theme="1"/>
        <rFont val="Arial"/>
        <family val="2"/>
      </rPr>
      <t xml:space="preserve">adjacent to impervious surfaces, Calculations have been provided in the SWPPP. </t>
    </r>
    <r>
      <rPr>
        <b/>
        <sz val="10"/>
        <color theme="1"/>
        <rFont val="Arial"/>
        <family val="2"/>
      </rPr>
      <t>OR</t>
    </r>
    <r>
      <rPr>
        <sz val="10"/>
        <color theme="1"/>
        <rFont val="Arial"/>
        <family val="2"/>
      </rPr>
      <t xml:space="preserve"> </t>
    </r>
    <r>
      <rPr>
        <sz val="10"/>
        <color rgb="FFFF0000"/>
        <rFont val="Arial"/>
        <family val="2"/>
      </rPr>
      <t>Tree plantings/tree pits/tree trenches</t>
    </r>
    <r>
      <rPr>
        <sz val="10"/>
        <rFont val="Arial"/>
        <family val="2"/>
      </rPr>
      <t xml:space="preserve"> are proposed on site. However, credit for these trees will not be taken toward </t>
    </r>
    <r>
      <rPr>
        <sz val="10"/>
        <color rgb="FFFF0000"/>
        <rFont val="Arial"/>
        <family val="2"/>
      </rPr>
      <t>area reduction/volume</t>
    </r>
    <r>
      <rPr>
        <sz val="10"/>
        <rFont val="Arial"/>
        <family val="2"/>
      </rPr>
      <t xml:space="preserve"> </t>
    </r>
    <r>
      <rPr>
        <sz val="10"/>
        <color rgb="FFFF0000"/>
        <rFont val="Arial"/>
        <family val="2"/>
      </rPr>
      <t>reduction</t>
    </r>
    <r>
      <rPr>
        <sz val="10"/>
        <rFont val="Arial"/>
        <family val="2"/>
      </rPr>
      <t xml:space="preserve"> in the RRv calculations. </t>
    </r>
  </si>
  <si>
    <t>Disconnection of Rooftop Runoff (RR-4)</t>
  </si>
  <si>
    <t>Direct runoff from rooftop areas and upland overland runoff flow to designated pervious areas to reduce runoff volumes and rates.</t>
  </si>
  <si>
    <r>
      <t xml:space="preserve">EXAMPLES - The building roof(s) will be directed to downspouts with splash blocks and discharge over a grassed filter. Calculations have been provided in the SWPPP. </t>
    </r>
    <r>
      <rPr>
        <b/>
        <sz val="10"/>
        <color theme="1"/>
        <rFont val="Arial"/>
        <family val="2"/>
      </rPr>
      <t>OR</t>
    </r>
    <r>
      <rPr>
        <sz val="10"/>
        <color theme="1"/>
        <rFont val="Arial"/>
        <family val="2"/>
      </rPr>
      <t xml:space="preserve"> The building roof(s) will be directed to downspouts with splash blocks and vegetated areas, which will promote sheet flow and filtering. However, credit for rooftop disconnect will not be taken toward an impervious area reduction in the RRv calculations. </t>
    </r>
    <r>
      <rPr>
        <b/>
        <sz val="10"/>
        <color theme="1"/>
        <rFont val="Arial"/>
        <family val="2"/>
      </rPr>
      <t xml:space="preserve">OR </t>
    </r>
    <r>
      <rPr>
        <sz val="10"/>
        <color theme="1"/>
        <rFont val="Arial"/>
        <family val="2"/>
      </rPr>
      <t xml:space="preserve">Due to the </t>
    </r>
    <r>
      <rPr>
        <sz val="10"/>
        <color rgb="FFFF0000"/>
        <rFont val="Arial"/>
        <family val="2"/>
      </rPr>
      <t xml:space="preserve">size/use/layout </t>
    </r>
    <r>
      <rPr>
        <sz val="10"/>
        <rFont val="Arial"/>
        <family val="2"/>
      </rPr>
      <t>of the proposed building(s), rooftop disconnect is not proposed at this time.</t>
    </r>
  </si>
  <si>
    <t>Vegetated Swale (RR-5)</t>
  </si>
  <si>
    <t>The natural drainage paths, or properly designed vegetated channels, can be used instead of constructing underground storm sewers or concrete open channels to increase time of concentration, reduce the peak discharge, and provide infiltration.</t>
  </si>
  <si>
    <r>
      <t xml:space="preserve">EXAMPLES - Due to </t>
    </r>
    <r>
      <rPr>
        <sz val="10"/>
        <color rgb="FFFF0000"/>
        <rFont val="Arial"/>
        <family val="2"/>
      </rPr>
      <t>flat topography/steep topography/etc.</t>
    </r>
    <r>
      <rPr>
        <sz val="10"/>
        <color theme="1"/>
        <rFont val="Arial"/>
        <family val="2"/>
      </rPr>
      <t xml:space="preserve">, vegetated swales are not feasible for use on the project site. </t>
    </r>
    <r>
      <rPr>
        <b/>
        <sz val="10"/>
        <color theme="1"/>
        <rFont val="Arial"/>
        <family val="2"/>
      </rPr>
      <t>OR</t>
    </r>
    <r>
      <rPr>
        <sz val="10"/>
        <color theme="1"/>
        <rFont val="Arial"/>
        <family val="2"/>
      </rPr>
      <t xml:space="preserve"> Vegetated swale(s) will be used to treat </t>
    </r>
    <r>
      <rPr>
        <sz val="10"/>
        <color rgb="FFFF0000"/>
        <rFont val="Arial"/>
        <family val="2"/>
      </rPr>
      <t>XX</t>
    </r>
    <r>
      <rPr>
        <sz val="10"/>
        <color theme="1"/>
        <rFont val="Arial"/>
        <family val="2"/>
      </rPr>
      <t xml:space="preserve">. Calculations have been provided in the SWPPP. </t>
    </r>
  </si>
  <si>
    <t>Rain Garden (RR-6)</t>
  </si>
  <si>
    <t>Manage and treat small volumes of stormwater runoff using a conditioned planting soil bed and planting materials to filter runoff stored within a shallow depression.</t>
  </si>
  <si>
    <r>
      <t>EXAMPLES -</t>
    </r>
    <r>
      <rPr>
        <b/>
        <sz val="10"/>
        <color theme="1"/>
        <rFont val="Arial"/>
        <family val="2"/>
      </rPr>
      <t xml:space="preserve"> </t>
    </r>
    <r>
      <rPr>
        <sz val="10"/>
        <color theme="1"/>
        <rFont val="Arial"/>
        <family val="2"/>
      </rPr>
      <t xml:space="preserve">Due to the </t>
    </r>
    <r>
      <rPr>
        <sz val="10"/>
        <color rgb="FFFF0000"/>
        <rFont val="Arial"/>
        <family val="2"/>
      </rPr>
      <t>size of contributing area/tributary driveway/tributary roadway</t>
    </r>
    <r>
      <rPr>
        <sz val="10"/>
        <color theme="1"/>
        <rFont val="Arial"/>
        <family val="2"/>
      </rPr>
      <t xml:space="preserve">, a bioretention facility will be implemented instead of rain gardens. </t>
    </r>
    <r>
      <rPr>
        <b/>
        <sz val="10"/>
        <color theme="1"/>
        <rFont val="Arial"/>
        <family val="2"/>
      </rPr>
      <t>OR</t>
    </r>
    <r>
      <rPr>
        <sz val="10"/>
        <color theme="1"/>
        <rFont val="Arial"/>
        <family val="2"/>
      </rPr>
      <t xml:space="preserve"> Due to </t>
    </r>
    <r>
      <rPr>
        <sz val="10"/>
        <color rgb="FFFF0000"/>
        <rFont val="Arial"/>
        <family val="2"/>
      </rPr>
      <t>XXX</t>
    </r>
    <r>
      <rPr>
        <sz val="10"/>
        <color theme="1"/>
        <rFont val="Arial"/>
        <family val="2"/>
      </rPr>
      <t xml:space="preserve">,rain gardens are not feasible for use on the project site. </t>
    </r>
    <r>
      <rPr>
        <b/>
        <sz val="10"/>
        <color theme="1"/>
        <rFont val="Arial"/>
        <family val="2"/>
      </rPr>
      <t>OR</t>
    </r>
    <r>
      <rPr>
        <sz val="10"/>
        <color theme="1"/>
        <rFont val="Arial"/>
        <family val="2"/>
      </rPr>
      <t xml:space="preserve"> Rain gardens will be used to treat roof runoff at the source for the building(s). Calculations have been provided in the SWPPP. </t>
    </r>
  </si>
  <si>
    <t>Stormwater Planter (RR-7)</t>
  </si>
  <si>
    <t>Small landscaped stormwater treatment devices that can be designed as infiltration or filtering practices. Stormwater planters use soil infiltration and biogeochemical processes to decrease stormwater quantity and improve water quality.</t>
  </si>
  <si>
    <r>
      <t xml:space="preserve">EXAMPLES - Due to </t>
    </r>
    <r>
      <rPr>
        <sz val="10"/>
        <color rgb="FFFF0000"/>
        <rFont val="Arial"/>
        <family val="2"/>
      </rPr>
      <t>XXX</t>
    </r>
    <r>
      <rPr>
        <sz val="10"/>
        <color theme="1"/>
        <rFont val="Arial"/>
        <family val="2"/>
      </rPr>
      <t xml:space="preserve">, a bioretention facility will be implemented instead of stormwater planter(s). </t>
    </r>
    <r>
      <rPr>
        <b/>
        <sz val="10"/>
        <color theme="1"/>
        <rFont val="Arial"/>
        <family val="2"/>
      </rPr>
      <t>OR</t>
    </r>
    <r>
      <rPr>
        <sz val="10"/>
        <color theme="1"/>
        <rFont val="Arial"/>
        <family val="2"/>
      </rPr>
      <t xml:space="preserve"> Due to </t>
    </r>
    <r>
      <rPr>
        <sz val="10"/>
        <color rgb="FFFF0000"/>
        <rFont val="Arial"/>
        <family val="2"/>
      </rPr>
      <t>XXX</t>
    </r>
    <r>
      <rPr>
        <sz val="10"/>
        <color theme="1"/>
        <rFont val="Arial"/>
        <family val="2"/>
      </rPr>
      <t xml:space="preserve">,stormwater planters are not feasible for use on the project site. </t>
    </r>
    <r>
      <rPr>
        <b/>
        <sz val="10"/>
        <color theme="1"/>
        <rFont val="Arial"/>
        <family val="2"/>
      </rPr>
      <t>OR</t>
    </r>
    <r>
      <rPr>
        <sz val="10"/>
        <color theme="1"/>
        <rFont val="Arial"/>
        <family val="2"/>
      </rPr>
      <t xml:space="preserve"> Stormwater planters will be used to treat roof runoff at the source for the building(s). Calculations have been provided in the SWPPP. </t>
    </r>
  </si>
  <si>
    <t>Rainwater Harvesting System       (RR-8)</t>
  </si>
  <si>
    <t>Capture and store stormwater runoff to be used for irrigation systems or filtered and reused for non-contact activities.</t>
  </si>
  <si>
    <r>
      <t xml:space="preserve">EXAMPLES - Rainwater harvesting is not proposed on-site due to </t>
    </r>
    <r>
      <rPr>
        <sz val="10"/>
        <color rgb="FFFF0000"/>
        <rFont val="Arial"/>
        <family val="2"/>
      </rPr>
      <t>XXX</t>
    </r>
    <r>
      <rPr>
        <sz val="10"/>
        <color theme="1"/>
        <rFont val="Arial"/>
        <family val="2"/>
      </rPr>
      <t xml:space="preserve">. </t>
    </r>
    <r>
      <rPr>
        <b/>
        <sz val="10"/>
        <color theme="1"/>
        <rFont val="Arial"/>
        <family val="2"/>
      </rPr>
      <t xml:space="preserve">OR </t>
    </r>
    <r>
      <rPr>
        <sz val="10"/>
        <color theme="1"/>
        <rFont val="Arial"/>
        <family val="2"/>
      </rPr>
      <t xml:space="preserve">A below-grade cistern will be implemented for reuse as </t>
    </r>
    <r>
      <rPr>
        <sz val="10"/>
        <color rgb="FFFF0000"/>
        <rFont val="Arial"/>
        <family val="2"/>
      </rPr>
      <t>XXX</t>
    </r>
    <r>
      <rPr>
        <sz val="10"/>
        <color theme="1"/>
        <rFont val="Arial"/>
        <family val="2"/>
      </rPr>
      <t xml:space="preserve">. The system has been sized to provide adequate storage capacity for the entire WQv &amp; RRv calculated for the tributary area. Calculations have been provided in the SWPPP. An above-grade </t>
    </r>
    <r>
      <rPr>
        <sz val="10"/>
        <color rgb="FFFF0000"/>
        <rFont val="Arial"/>
        <family val="2"/>
      </rPr>
      <t>rain barrel/cistern</t>
    </r>
    <r>
      <rPr>
        <sz val="10"/>
        <color theme="1"/>
        <rFont val="Arial"/>
        <family val="2"/>
      </rPr>
      <t xml:space="preserve"> will be implemented for reuse as </t>
    </r>
    <r>
      <rPr>
        <sz val="10"/>
        <color rgb="FFFF0000"/>
        <rFont val="Arial"/>
        <family val="2"/>
      </rPr>
      <t>XXX</t>
    </r>
    <r>
      <rPr>
        <sz val="10"/>
        <color theme="1"/>
        <rFont val="Arial"/>
        <family val="2"/>
      </rPr>
      <t>. The system has been sized to provide adequate storage capacity for the entire WQv &amp; RRv calculated for the tributary area. Calculations have been provided in the SWPPP.</t>
    </r>
  </si>
  <si>
    <t>Porous Pavement     (RR-9)</t>
  </si>
  <si>
    <t>Pervious types of pavements that provide an alternative to conventional paved surfaces, designed to infiltrate rainfall through the surface, thereby reducing stormwater runoff from a site and providing some pollutant uptake in the underlying soils.</t>
  </si>
  <si>
    <r>
      <t xml:space="preserve">EXAMPLES - Due to </t>
    </r>
    <r>
      <rPr>
        <sz val="10"/>
        <color rgb="FFFF0000"/>
        <rFont val="Arial"/>
        <family val="2"/>
      </rPr>
      <t>XXX</t>
    </r>
    <r>
      <rPr>
        <sz val="10"/>
        <color theme="1"/>
        <rFont val="Arial"/>
        <family val="2"/>
      </rPr>
      <t xml:space="preserve">, porous pavement is not feasible for use on the project site. </t>
    </r>
    <r>
      <rPr>
        <b/>
        <sz val="10"/>
        <color theme="1"/>
        <rFont val="Arial"/>
        <family val="2"/>
      </rPr>
      <t>OR</t>
    </r>
    <r>
      <rPr>
        <sz val="10"/>
        <color theme="1"/>
        <rFont val="Arial"/>
        <family val="2"/>
      </rPr>
      <t xml:space="preserve"> Porous asphalt will be used, in place of </t>
    </r>
    <r>
      <rPr>
        <sz val="10"/>
        <color rgb="FFFF0000"/>
        <rFont val="Arial"/>
        <family val="2"/>
      </rPr>
      <t>XX</t>
    </r>
    <r>
      <rPr>
        <sz val="10"/>
        <color theme="1"/>
        <rFont val="Arial"/>
        <family val="2"/>
      </rPr>
      <t xml:space="preserve">, for the proposed </t>
    </r>
    <r>
      <rPr>
        <sz val="10"/>
        <color rgb="FFFF0000"/>
        <rFont val="Arial"/>
        <family val="2"/>
      </rPr>
      <t>XX.</t>
    </r>
    <r>
      <rPr>
        <sz val="10"/>
        <color theme="1"/>
        <rFont val="Arial"/>
        <family val="2"/>
      </rPr>
      <t xml:space="preserve"> Calculations have been provided in the SWPPP. </t>
    </r>
    <r>
      <rPr>
        <b/>
        <sz val="10"/>
        <color theme="1"/>
        <rFont val="Arial"/>
        <family val="2"/>
      </rPr>
      <t xml:space="preserve">OR </t>
    </r>
    <r>
      <rPr>
        <sz val="10"/>
        <color theme="1"/>
        <rFont val="Arial"/>
        <family val="2"/>
      </rPr>
      <t xml:space="preserve">Porous concrete will be used, in place of </t>
    </r>
    <r>
      <rPr>
        <sz val="10"/>
        <color rgb="FFFF0000"/>
        <rFont val="Arial"/>
        <family val="2"/>
      </rPr>
      <t>XX</t>
    </r>
    <r>
      <rPr>
        <sz val="10"/>
        <color theme="1"/>
        <rFont val="Arial"/>
        <family val="2"/>
      </rPr>
      <t xml:space="preserve">, for the proposed </t>
    </r>
    <r>
      <rPr>
        <sz val="10"/>
        <color rgb="FFFF0000"/>
        <rFont val="Arial"/>
        <family val="2"/>
      </rPr>
      <t>XX</t>
    </r>
    <r>
      <rPr>
        <sz val="10"/>
        <color theme="1"/>
        <rFont val="Arial"/>
        <family val="2"/>
      </rPr>
      <t xml:space="preserve">. Calculations have been provided in the SWPPP. </t>
    </r>
    <r>
      <rPr>
        <b/>
        <sz val="10"/>
        <color theme="1"/>
        <rFont val="Arial"/>
        <family val="2"/>
      </rPr>
      <t>OR</t>
    </r>
    <r>
      <rPr>
        <sz val="10"/>
        <color theme="1"/>
        <rFont val="Arial"/>
        <family val="2"/>
      </rPr>
      <t xml:space="preserve"> Porous pavers will be used, in place of </t>
    </r>
    <r>
      <rPr>
        <sz val="10"/>
        <color rgb="FFFF0000"/>
        <rFont val="Arial"/>
        <family val="2"/>
      </rPr>
      <t>XX</t>
    </r>
    <r>
      <rPr>
        <sz val="10"/>
        <rFont val="Arial"/>
        <family val="2"/>
      </rPr>
      <t>,</t>
    </r>
    <r>
      <rPr>
        <sz val="10"/>
        <color theme="1"/>
        <rFont val="Arial"/>
        <family val="2"/>
      </rPr>
      <t xml:space="preserve"> for the proposed </t>
    </r>
    <r>
      <rPr>
        <sz val="10"/>
        <color rgb="FFFF0000"/>
        <rFont val="Arial"/>
        <family val="2"/>
      </rPr>
      <t>XX</t>
    </r>
    <r>
      <rPr>
        <sz val="10"/>
        <color theme="1"/>
        <rFont val="Arial"/>
        <family val="2"/>
      </rPr>
      <t>. Calculations have been provided in the SWPPP.</t>
    </r>
  </si>
  <si>
    <t>Green Roof (RR-10)</t>
  </si>
  <si>
    <t>Capture runoff by a layer of vegetation and soil installed on top of a conventional flat or sloped roof. The rooftop vegetation allows evaporation and evapotranspiration processes to reduce volume and discharge rate of runoff entering conveyance system.</t>
  </si>
  <si>
    <r>
      <t xml:space="preserve">EXAMPLES - Due to  </t>
    </r>
    <r>
      <rPr>
        <sz val="10"/>
        <color rgb="FFFF0000"/>
        <rFont val="Arial"/>
        <family val="2"/>
      </rPr>
      <t>XX</t>
    </r>
    <r>
      <rPr>
        <sz val="10"/>
        <color theme="1"/>
        <rFont val="Arial"/>
        <family val="2"/>
      </rPr>
      <t xml:space="preserve">, a green roof is not feasible for use on the project site. </t>
    </r>
    <r>
      <rPr>
        <b/>
        <sz val="10"/>
        <color theme="1"/>
        <rFont val="Arial"/>
        <family val="2"/>
      </rPr>
      <t xml:space="preserve">OR </t>
    </r>
    <r>
      <rPr>
        <sz val="10"/>
        <color rgb="FFFF0000"/>
        <rFont val="Arial"/>
        <family val="2"/>
      </rPr>
      <t>An extensive/intensive</t>
    </r>
    <r>
      <rPr>
        <sz val="10"/>
        <color theme="1"/>
        <rFont val="Arial"/>
        <family val="2"/>
      </rPr>
      <t xml:space="preserve"> green roof is proposed on-site. Calculations have been provided in the SWPPP.</t>
    </r>
  </si>
  <si>
    <t>Stream Daylighting (RR-11)</t>
  </si>
  <si>
    <t>Stream Daylight previously-culverted/piped streams to restore natural habitats, better attenuate runoff by increasing the storage size, promoting infiltration, and help reduce pollutant loads.</t>
  </si>
  <si>
    <r>
      <t xml:space="preserve">EXAMPLES - No stream daylighting opportunities are present on the site. </t>
    </r>
    <r>
      <rPr>
        <b/>
        <sz val="10"/>
        <color theme="1"/>
        <rFont val="Arial"/>
        <family val="2"/>
      </rPr>
      <t>OR</t>
    </r>
    <r>
      <rPr>
        <sz val="10"/>
        <color theme="1"/>
        <rFont val="Arial"/>
        <family val="2"/>
      </rPr>
      <t xml:space="preserve"> Although stream daylighting opportunities are present, due to </t>
    </r>
    <r>
      <rPr>
        <sz val="10"/>
        <color rgb="FFFF0000"/>
        <rFont val="Arial"/>
        <family val="2"/>
      </rPr>
      <t>XX</t>
    </r>
    <r>
      <rPr>
        <sz val="10"/>
        <color theme="1"/>
        <rFont val="Arial"/>
        <family val="2"/>
      </rPr>
      <t xml:space="preserve">, stream daylighting is not proposed on this site. </t>
    </r>
    <r>
      <rPr>
        <b/>
        <sz val="10"/>
        <color theme="1"/>
        <rFont val="Arial"/>
        <family val="2"/>
      </rPr>
      <t>OR</t>
    </r>
    <r>
      <rPr>
        <sz val="10"/>
        <color theme="1"/>
        <rFont val="Arial"/>
        <family val="2"/>
      </rPr>
      <t xml:space="preserve"> The project proposes stream daylighting for an </t>
    </r>
    <r>
      <rPr>
        <sz val="10"/>
        <color rgb="FFFF0000"/>
        <rFont val="Arial"/>
        <family val="2"/>
      </rPr>
      <t>XX-ft</t>
    </r>
    <r>
      <rPr>
        <sz val="10"/>
        <color theme="1"/>
        <rFont val="Arial"/>
        <family val="2"/>
      </rPr>
      <t xml:space="preserve"> length of stream.</t>
    </r>
  </si>
  <si>
    <t>Standard SMPs with RRv Capacity</t>
  </si>
  <si>
    <t>Infiltration Trench (I-1)</t>
  </si>
  <si>
    <t>An infiltration practice that stores the water quality volume in the void spaces of a gravel trench before it is infiltrated into the ground.</t>
  </si>
  <si>
    <r>
      <t xml:space="preserve">EXAMPLES - Due to </t>
    </r>
    <r>
      <rPr>
        <sz val="10"/>
        <color rgb="FFFF0000"/>
        <rFont val="Arial"/>
        <family val="2"/>
      </rPr>
      <t>XX</t>
    </r>
    <r>
      <rPr>
        <sz val="10"/>
        <color theme="1"/>
        <rFont val="Arial"/>
        <family val="2"/>
      </rPr>
      <t xml:space="preserve">, infiltration trenches are not feasible for use on the project site. </t>
    </r>
    <r>
      <rPr>
        <b/>
        <sz val="10"/>
        <color theme="1"/>
        <rFont val="Arial"/>
        <family val="2"/>
      </rPr>
      <t>OR I</t>
    </r>
    <r>
      <rPr>
        <sz val="10"/>
        <color theme="1"/>
        <rFont val="Arial"/>
        <family val="2"/>
      </rPr>
      <t xml:space="preserve">nfiltration trench(es) are proposed on-site to treat </t>
    </r>
    <r>
      <rPr>
        <sz val="10"/>
        <color rgb="FFFF0000"/>
        <rFont val="Arial"/>
        <family val="2"/>
      </rPr>
      <t>XX</t>
    </r>
    <r>
      <rPr>
        <sz val="10"/>
        <color theme="1"/>
        <rFont val="Arial"/>
        <family val="2"/>
      </rPr>
      <t>. Calculations have been provided in the SWPPP.</t>
    </r>
  </si>
  <si>
    <t>Infiltration Basin (I-2)</t>
  </si>
  <si>
    <t>An infiltration practice that stores the water quality volume in a shallow depression, before it is infiltrated it into the ground.</t>
  </si>
  <si>
    <r>
      <t xml:space="preserve">EXAMPLES - Due to </t>
    </r>
    <r>
      <rPr>
        <sz val="10"/>
        <color rgb="FFFF0000"/>
        <rFont val="Arial"/>
        <family val="2"/>
      </rPr>
      <t>XX</t>
    </r>
    <r>
      <rPr>
        <sz val="10"/>
        <color theme="1"/>
        <rFont val="Arial"/>
        <family val="2"/>
      </rPr>
      <t xml:space="preserve">, infiltration basins are not feasible for use on the project site. </t>
    </r>
    <r>
      <rPr>
        <b/>
        <sz val="10"/>
        <color theme="1"/>
        <rFont val="Arial"/>
        <family val="2"/>
      </rPr>
      <t>OR</t>
    </r>
    <r>
      <rPr>
        <sz val="10"/>
        <color theme="1"/>
        <rFont val="Arial"/>
        <family val="2"/>
      </rPr>
      <t xml:space="preserve"> An infiltration basin(s) is proposed on-site to treat </t>
    </r>
    <r>
      <rPr>
        <sz val="10"/>
        <color rgb="FFFF0000"/>
        <rFont val="Arial"/>
        <family val="2"/>
      </rPr>
      <t>XX</t>
    </r>
    <r>
      <rPr>
        <sz val="10"/>
        <color theme="1"/>
        <rFont val="Arial"/>
        <family val="2"/>
      </rPr>
      <t>. Calculations have been provided in the SWPPP.</t>
    </r>
  </si>
  <si>
    <t>Dry Well (I-3)</t>
  </si>
  <si>
    <t>An infiltration practice similar in design to the infiltration trench, and best suited for treatment of rooftop runoff.</t>
  </si>
  <si>
    <r>
      <t xml:space="preserve">EXAMPLES - Due to </t>
    </r>
    <r>
      <rPr>
        <sz val="10"/>
        <color rgb="FFFF0000"/>
        <rFont val="Arial"/>
        <family val="2"/>
      </rPr>
      <t>XX</t>
    </r>
    <r>
      <rPr>
        <sz val="10"/>
        <color theme="1"/>
        <rFont val="Arial"/>
        <family val="2"/>
      </rPr>
      <t xml:space="preserve">, dry wells are not feasible for use on the project site. </t>
    </r>
    <r>
      <rPr>
        <b/>
        <sz val="10"/>
        <color theme="1"/>
        <rFont val="Arial"/>
        <family val="2"/>
      </rPr>
      <t>OR</t>
    </r>
    <r>
      <rPr>
        <sz val="10"/>
        <color theme="1"/>
        <rFont val="Arial"/>
        <family val="2"/>
      </rPr>
      <t xml:space="preserve"> Dry well(s) are proposed on-site to treat </t>
    </r>
    <r>
      <rPr>
        <sz val="10"/>
        <color rgb="FFFF0000"/>
        <rFont val="Arial"/>
        <family val="2"/>
      </rPr>
      <t>XX</t>
    </r>
    <r>
      <rPr>
        <sz val="10"/>
        <color theme="1"/>
        <rFont val="Arial"/>
        <family val="2"/>
      </rPr>
      <t>. Calculations have been provided in the SWPPP.</t>
    </r>
  </si>
  <si>
    <t>Underground Infiltration System (I-4)</t>
  </si>
  <si>
    <t>An infiltration practice below grade that stores the water quality volume in pre-manufactured pipes, vaults or other modular structures, before it is infiltrated into the ground.</t>
  </si>
  <si>
    <r>
      <t xml:space="preserve">EXAMPLES - Due to </t>
    </r>
    <r>
      <rPr>
        <sz val="10"/>
        <color rgb="FFFF0000"/>
        <rFont val="Arial"/>
        <family val="2"/>
      </rPr>
      <t>XX</t>
    </r>
    <r>
      <rPr>
        <sz val="10"/>
        <color theme="1"/>
        <rFont val="Arial"/>
        <family val="2"/>
      </rPr>
      <t xml:space="preserve">, underground infiltration systems are not feasible for use on the project site. </t>
    </r>
    <r>
      <rPr>
        <b/>
        <sz val="10"/>
        <color theme="1"/>
        <rFont val="Arial"/>
        <family val="2"/>
      </rPr>
      <t>OR</t>
    </r>
    <r>
      <rPr>
        <sz val="10"/>
        <color theme="1"/>
        <rFont val="Arial"/>
        <family val="2"/>
      </rPr>
      <t xml:space="preserve"> An underground infiltration system(s) is proposed on-site to treat </t>
    </r>
    <r>
      <rPr>
        <sz val="10"/>
        <color rgb="FFFF0000"/>
        <rFont val="Arial"/>
        <family val="2"/>
      </rPr>
      <t>XX</t>
    </r>
    <r>
      <rPr>
        <sz val="10"/>
        <color theme="1"/>
        <rFont val="Arial"/>
        <family val="2"/>
      </rPr>
      <t>. Calculations have been provided in the SWPPP.</t>
    </r>
  </si>
  <si>
    <t>Infiltration Bioretention (F-4)</t>
  </si>
  <si>
    <t>A shallow depression that treats stormwater as it flows through a soil matrix, before it is infiltrated into the ground.</t>
  </si>
  <si>
    <r>
      <t xml:space="preserve">EXAMPLES - Due to </t>
    </r>
    <r>
      <rPr>
        <sz val="10"/>
        <color rgb="FFFF0000"/>
        <rFont val="Arial"/>
        <family val="2"/>
      </rPr>
      <t>XXX</t>
    </r>
    <r>
      <rPr>
        <sz val="10"/>
        <color theme="1"/>
        <rFont val="Arial"/>
        <family val="2"/>
      </rPr>
      <t xml:space="preserve">, a filtration bioretention will be implemented, instead of an infiltration bioretention. </t>
    </r>
    <r>
      <rPr>
        <b/>
        <sz val="10"/>
        <color theme="1"/>
        <rFont val="Arial"/>
        <family val="2"/>
      </rPr>
      <t>OR</t>
    </r>
    <r>
      <rPr>
        <sz val="10"/>
        <color theme="1"/>
        <rFont val="Arial"/>
        <family val="2"/>
      </rPr>
      <t xml:space="preserve"> Due to </t>
    </r>
    <r>
      <rPr>
        <sz val="10"/>
        <color rgb="FFFF0000"/>
        <rFont val="Arial"/>
        <family val="2"/>
      </rPr>
      <t>XXX</t>
    </r>
    <r>
      <rPr>
        <sz val="10"/>
        <color theme="1"/>
        <rFont val="Arial"/>
        <family val="2"/>
      </rPr>
      <t xml:space="preserve">, bioretention is not feasible for use on the project site. </t>
    </r>
    <r>
      <rPr>
        <b/>
        <sz val="10"/>
        <color theme="1"/>
        <rFont val="Arial"/>
        <family val="2"/>
      </rPr>
      <t xml:space="preserve">OR </t>
    </r>
    <r>
      <rPr>
        <sz val="10"/>
        <color theme="1"/>
        <rFont val="Arial"/>
        <family val="2"/>
      </rPr>
      <t xml:space="preserve">Infiltration bioretention will be used to treat </t>
    </r>
    <r>
      <rPr>
        <sz val="10"/>
        <color rgb="FFFF0000"/>
        <rFont val="Arial"/>
        <family val="2"/>
      </rPr>
      <t>XX</t>
    </r>
    <r>
      <rPr>
        <sz val="10"/>
        <color theme="1"/>
        <rFont val="Arial"/>
        <family val="2"/>
      </rPr>
      <t xml:space="preserve">. Calculations have been provided in the SWPPP. </t>
    </r>
  </si>
  <si>
    <t>Filtration Bioretention (F-5)</t>
  </si>
  <si>
    <t>A shallow depression that treats stormwater as it flows through a soil matrix and is returned to the storm drain system.</t>
  </si>
  <si>
    <r>
      <t xml:space="preserve">EXAMPLES - Due to </t>
    </r>
    <r>
      <rPr>
        <sz val="10"/>
        <color rgb="FFFF0000"/>
        <rFont val="Arial"/>
        <family val="2"/>
      </rPr>
      <t>XXX</t>
    </r>
    <r>
      <rPr>
        <sz val="10"/>
        <color theme="1"/>
        <rFont val="Arial"/>
        <family val="2"/>
      </rPr>
      <t xml:space="preserve">, an infiltration bioretention will be implemented, instead of a filtration bioretention. </t>
    </r>
    <r>
      <rPr>
        <b/>
        <sz val="10"/>
        <color theme="1"/>
        <rFont val="Arial"/>
        <family val="2"/>
      </rPr>
      <t>OR</t>
    </r>
    <r>
      <rPr>
        <sz val="10"/>
        <color theme="1"/>
        <rFont val="Arial"/>
        <family val="2"/>
      </rPr>
      <t xml:space="preserve"> Due to </t>
    </r>
    <r>
      <rPr>
        <sz val="10"/>
        <color rgb="FFFF0000"/>
        <rFont val="Arial"/>
        <family val="2"/>
      </rPr>
      <t>XXX</t>
    </r>
    <r>
      <rPr>
        <sz val="10"/>
        <color theme="1"/>
        <rFont val="Arial"/>
        <family val="2"/>
      </rPr>
      <t xml:space="preserve">, bioretention is not feasible for use on the project site. </t>
    </r>
    <r>
      <rPr>
        <b/>
        <sz val="10"/>
        <color theme="1"/>
        <rFont val="Arial"/>
        <family val="2"/>
      </rPr>
      <t>OR</t>
    </r>
    <r>
      <rPr>
        <sz val="10"/>
        <color theme="1"/>
        <rFont val="Arial"/>
        <family val="2"/>
      </rPr>
      <t xml:space="preserve"> Filtration bioretention will be used to treat </t>
    </r>
    <r>
      <rPr>
        <sz val="10"/>
        <color rgb="FFFF0000"/>
        <rFont val="Arial"/>
        <family val="2"/>
      </rPr>
      <t>XX</t>
    </r>
    <r>
      <rPr>
        <sz val="10"/>
        <color theme="1"/>
        <rFont val="Arial"/>
        <family val="2"/>
      </rPr>
      <t xml:space="preserve">. Calculations have been provided in the SWPPP. </t>
    </r>
  </si>
  <si>
    <t>Bioslope (F-6)</t>
  </si>
  <si>
    <t>Permeable engineered soil media that is installed along embankments or other slopes, designed to capture and treat stormwater runoff from adjacent paved areas.</t>
  </si>
  <si>
    <r>
      <t xml:space="preserve">EXAMPLES - Due to </t>
    </r>
    <r>
      <rPr>
        <sz val="10"/>
        <color rgb="FFFF0000"/>
        <rFont val="Arial"/>
        <family val="2"/>
      </rPr>
      <t>XXX</t>
    </r>
    <r>
      <rPr>
        <sz val="10"/>
        <color theme="1"/>
        <rFont val="Arial"/>
        <family val="2"/>
      </rPr>
      <t xml:space="preserve">, bioslopes are not feasible for use on the project site. </t>
    </r>
    <r>
      <rPr>
        <b/>
        <sz val="10"/>
        <color theme="1"/>
        <rFont val="Arial"/>
        <family val="2"/>
      </rPr>
      <t>OR</t>
    </r>
    <r>
      <rPr>
        <sz val="10"/>
        <color theme="1"/>
        <rFont val="Arial"/>
        <family val="2"/>
      </rPr>
      <t xml:space="preserve"> Bioslope(s) will be used to treat </t>
    </r>
    <r>
      <rPr>
        <sz val="10"/>
        <color rgb="FFFF0000"/>
        <rFont val="Arial"/>
        <family val="2"/>
      </rPr>
      <t>XX</t>
    </r>
    <r>
      <rPr>
        <sz val="10"/>
        <color theme="1"/>
        <rFont val="Arial"/>
        <family val="2"/>
      </rPr>
      <t xml:space="preserve">. Calculations have been provided in the SWPPP. </t>
    </r>
  </si>
  <si>
    <t>Dry Swale (O-1)</t>
  </si>
  <si>
    <t>An open drainage channel or depression explicitly designed to detain and promote the filtration of stormwater runoff into the soil media.</t>
  </si>
  <si>
    <r>
      <t xml:space="preserve">EXAMPLES - Due to </t>
    </r>
    <r>
      <rPr>
        <sz val="10"/>
        <color rgb="FFFF0000"/>
        <rFont val="Arial"/>
        <family val="2"/>
      </rPr>
      <t>XXX</t>
    </r>
    <r>
      <rPr>
        <sz val="10"/>
        <color theme="1"/>
        <rFont val="Arial"/>
        <family val="2"/>
      </rPr>
      <t xml:space="preserve">, dry swales are not feasible for use on the project site. </t>
    </r>
    <r>
      <rPr>
        <b/>
        <sz val="10"/>
        <color theme="1"/>
        <rFont val="Arial"/>
        <family val="2"/>
      </rPr>
      <t>OR</t>
    </r>
    <r>
      <rPr>
        <sz val="10"/>
        <color theme="1"/>
        <rFont val="Arial"/>
        <family val="2"/>
      </rPr>
      <t xml:space="preserve"> A dry swale(s) will be used to treat </t>
    </r>
    <r>
      <rPr>
        <sz val="10"/>
        <color rgb="FFFF0000"/>
        <rFont val="Arial"/>
        <family val="2"/>
      </rPr>
      <t>XX</t>
    </r>
    <r>
      <rPr>
        <sz val="10"/>
        <color theme="1"/>
        <rFont val="Arial"/>
        <family val="2"/>
      </rPr>
      <t xml:space="preserve">. Calculations have been provided in the SWPPP. </t>
    </r>
  </si>
  <si>
    <t>Hydrologic Soil Group</t>
  </si>
  <si>
    <t>Acres</t>
  </si>
  <si>
    <t>S</t>
  </si>
  <si>
    <t>A</t>
  </si>
  <si>
    <t>B</t>
  </si>
  <si>
    <t>C</t>
  </si>
  <si>
    <t>D</t>
  </si>
  <si>
    <t>Total Area</t>
  </si>
  <si>
    <t>Calculate the Minimum RRv</t>
  </si>
  <si>
    <t>S =</t>
  </si>
  <si>
    <t>Impervious =</t>
  </si>
  <si>
    <t>acres</t>
  </si>
  <si>
    <t>Precipitation</t>
  </si>
  <si>
    <t xml:space="preserve">Rv </t>
  </si>
  <si>
    <t>Design Criteria</t>
  </si>
  <si>
    <t>Total RRv Provided</t>
  </si>
  <si>
    <t>Does the conservation area proposed have a minimum contiguous area of 10,000 sf?</t>
  </si>
  <si>
    <t>Is the conservation area permanently protected through establishment of a legal conservation easement?</t>
  </si>
  <si>
    <t>Does the conservation area receive runoff from existing or new impervious areas?</t>
  </si>
  <si>
    <t>Is Sheet Flow to Riparian Buffer or another area based practice already being used for this area?</t>
  </si>
  <si>
    <t>Sizing Criteria</t>
  </si>
  <si>
    <r>
      <t xml:space="preserve">Contributing Area </t>
    </r>
    <r>
      <rPr>
        <sz val="10"/>
        <color theme="1"/>
        <rFont val="Arial"/>
        <family val="2"/>
      </rPr>
      <t>(Acres)</t>
    </r>
  </si>
  <si>
    <r>
      <t xml:space="preserve">Impervious Area </t>
    </r>
    <r>
      <rPr>
        <sz val="10"/>
        <color theme="1"/>
        <rFont val="Arial"/>
        <family val="2"/>
      </rPr>
      <t>(Acres)</t>
    </r>
  </si>
  <si>
    <r>
      <t xml:space="preserve">Percent Impervious </t>
    </r>
    <r>
      <rPr>
        <sz val="10"/>
        <color theme="1"/>
        <rFont val="Arial"/>
        <family val="2"/>
      </rPr>
      <t>%</t>
    </r>
  </si>
  <si>
    <r>
      <t xml:space="preserve">WQv </t>
    </r>
    <r>
      <rPr>
        <sz val="10"/>
        <color theme="1"/>
        <rFont val="Arial"/>
        <family val="2"/>
      </rPr>
      <t>(cf)</t>
    </r>
  </si>
  <si>
    <r>
      <t xml:space="preserve">Precipitation </t>
    </r>
    <r>
      <rPr>
        <sz val="10"/>
        <color theme="1"/>
        <rFont val="Arial"/>
        <family val="2"/>
      </rPr>
      <t>(in)</t>
    </r>
  </si>
  <si>
    <t>Subtract Area Conserved</t>
  </si>
  <si>
    <t>Area Reduction WQv</t>
  </si>
  <si>
    <t>Area Reduction Adjustments</t>
  </si>
  <si>
    <t>RRv Provided</t>
  </si>
  <si>
    <t>Subtract Area</t>
  </si>
  <si>
    <t>Enter Site Data For Drainage Area to be Reduced</t>
  </si>
  <si>
    <r>
      <t xml:space="preserve">Precipitation
</t>
    </r>
    <r>
      <rPr>
        <sz val="10"/>
        <color theme="1"/>
        <rFont val="Arial"/>
        <family val="2"/>
      </rPr>
      <t>(in)</t>
    </r>
  </si>
  <si>
    <t>Total Impervious</t>
  </si>
  <si>
    <t>Is the riparian buffer delineated and permanently protected through establishment of a legal conservation easement?</t>
  </si>
  <si>
    <t>Is the contributing area a designated hotspot?</t>
  </si>
  <si>
    <t>No</t>
  </si>
  <si>
    <t>Is a pretreatment pea gravel diaphragm proposed along the upgradient edge of the buffer?</t>
  </si>
  <si>
    <t>Is runoff entering the buffer as overland sheet flow or a flow spreader proposed upgradient of the buffer?</t>
  </si>
  <si>
    <t>Enter the total length of contributing flow path (ft)</t>
  </si>
  <si>
    <t>Enter the length of contributing flow path from impervious surfaces (ft)</t>
  </si>
  <si>
    <t>Enter the slope of contributing flow path (%)</t>
  </si>
  <si>
    <t>Minimum buffer length based on contriuting flow path slope (ft)</t>
  </si>
  <si>
    <t>Enter the slope for the first 10 ft of the buffer (%)</t>
  </si>
  <si>
    <t>Value</t>
  </si>
  <si>
    <t>Units</t>
  </si>
  <si>
    <t>Notes</t>
  </si>
  <si>
    <t>Enter Travel Time through Buffer</t>
  </si>
  <si>
    <t>T</t>
  </si>
  <si>
    <t>min</t>
  </si>
  <si>
    <t>Enter 2-yr 24-hr Rainfall Depth</t>
  </si>
  <si>
    <t>P</t>
  </si>
  <si>
    <t>inch</t>
  </si>
  <si>
    <t>Enter Overall Buffer Slope</t>
  </si>
  <si>
    <t>ft/ft</t>
  </si>
  <si>
    <t>Enter Manning's Coefficient for Buffer</t>
  </si>
  <si>
    <t>n</t>
  </si>
  <si>
    <t>Calculated Minimum Length of Buffer</t>
  </si>
  <si>
    <t>L</t>
  </si>
  <si>
    <t>ft</t>
  </si>
  <si>
    <t>Minimum Length of Buffer</t>
  </si>
  <si>
    <t>Is the buffer within HSG C or D soils?</t>
  </si>
  <si>
    <t>Required Length of Buffer</t>
  </si>
  <si>
    <t>Enter Provided Length of Buffer</t>
  </si>
  <si>
    <t>Calculate Runoff Reduction</t>
  </si>
  <si>
    <t>Does contributing impervious area exceed practice RRv capacity?</t>
  </si>
  <si>
    <t>Is another area reduction practice proposed for the same contributing area?</t>
  </si>
  <si>
    <t>Enter the slope of the contributing area (%)</t>
  </si>
  <si>
    <t>Are new trees proposed for area reduction?</t>
  </si>
  <si>
    <t>For new tree plantings, enter horizontal separation from contributing impervious area (ft)</t>
  </si>
  <si>
    <t>Are existing trees proposed for area reduction?</t>
  </si>
  <si>
    <t>For existing trees, enter horizontal separation from contributing impervious area to canopy (ft)</t>
  </si>
  <si>
    <t>Enter ponding depth (inches)</t>
  </si>
  <si>
    <t>Enter surface layer depth (inches)</t>
  </si>
  <si>
    <t>Enter filter media depth (inches)</t>
  </si>
  <si>
    <t>Enter filter media width (ft)</t>
  </si>
  <si>
    <t>Enter filter media length (ft)</t>
  </si>
  <si>
    <t>Enter mature tree canopy (ft)</t>
  </si>
  <si>
    <t>Area reduction per tree (sf)</t>
  </si>
  <si>
    <t>Enter number of trees for area reduction</t>
  </si>
  <si>
    <t>Total area reduction proposed (sf)</t>
  </si>
  <si>
    <t>Enter Site Data For Drainage Area to be Treated by Practice</t>
  </si>
  <si>
    <t>Enter number of trees per pit</t>
  </si>
  <si>
    <t>Enter underlying soil infiltration rate (based on geotechnical testing, refer to Appendix D)</t>
  </si>
  <si>
    <t>Enter depth to seasonal high water table (ft)</t>
  </si>
  <si>
    <t>Enter depth to bedrock (ft)</t>
  </si>
  <si>
    <t>Enter filter media width per tree (ft)</t>
  </si>
  <si>
    <t>Enter filter media length per tree (ft)</t>
  </si>
  <si>
    <t>Enter drainage layer depth (inches)</t>
  </si>
  <si>
    <t>Enter on center tree pit spacing (ft)</t>
  </si>
  <si>
    <t>Water Quality Volume</t>
  </si>
  <si>
    <t>WQv</t>
  </si>
  <si>
    <t>Enter Filter Bed Depth</t>
  </si>
  <si>
    <t>df</t>
  </si>
  <si>
    <t>Permeability Flow Rate</t>
  </si>
  <si>
    <t>k</t>
  </si>
  <si>
    <t>ft/day</t>
  </si>
  <si>
    <t>Enter Average Height of Ponding</t>
  </si>
  <si>
    <t>hf</t>
  </si>
  <si>
    <t>Enter Filter Time</t>
  </si>
  <si>
    <t>tf</t>
  </si>
  <si>
    <t>days</t>
  </si>
  <si>
    <t>Required Filter Bed Surface Area</t>
  </si>
  <si>
    <t>Af</t>
  </si>
  <si>
    <t>sf</t>
  </si>
  <si>
    <t>Provided Filter Bed Surface Area</t>
  </si>
  <si>
    <t>Will disconnected runof flow over HSG C or D soils?</t>
  </si>
  <si>
    <t>Is the contributing area to each filter path greater than 1,000 sf?</t>
  </si>
  <si>
    <t>Enter the flow length of the contirbuting area (ft)</t>
  </si>
  <si>
    <t>Enter the width of the filter path (ft)</t>
  </si>
  <si>
    <t>Enter the length of the filter path (ft)</t>
  </si>
  <si>
    <t>Enter the filter path slope</t>
  </si>
  <si>
    <t>`</t>
  </si>
  <si>
    <t>Select HSG</t>
  </si>
  <si>
    <t>Is contributing area greater than 5 acres?</t>
  </si>
  <si>
    <t>Water Quality Peak Flow Rate</t>
  </si>
  <si>
    <t>WQf</t>
  </si>
  <si>
    <t>cfs</t>
  </si>
  <si>
    <t>Taken from hydrologic modeling</t>
  </si>
  <si>
    <t>Enter Bottom Width</t>
  </si>
  <si>
    <t>b</t>
  </si>
  <si>
    <t>WQv Maximum Flow Depth</t>
  </si>
  <si>
    <t>d</t>
  </si>
  <si>
    <t>Side Slope</t>
  </si>
  <si>
    <t>X:1</t>
  </si>
  <si>
    <t>:1</t>
  </si>
  <si>
    <t>WQv Flow Top Width</t>
  </si>
  <si>
    <t>Wwqv</t>
  </si>
  <si>
    <t>WQv Flow Wetted Perimeter</t>
  </si>
  <si>
    <t>Pw</t>
  </si>
  <si>
    <t>Area of the WQv Flow</t>
  </si>
  <si>
    <t>Awqv</t>
  </si>
  <si>
    <t>WQv Peak Discharge Velocity</t>
  </si>
  <si>
    <t>V</t>
  </si>
  <si>
    <t>fps</t>
  </si>
  <si>
    <t>WQv Retention Time</t>
  </si>
  <si>
    <t>Required Swale Length</t>
  </si>
  <si>
    <t>Lr</t>
  </si>
  <si>
    <t>Provided Swale Length</t>
  </si>
  <si>
    <t>Lp</t>
  </si>
  <si>
    <t>Longitudinal Slope of Channel</t>
  </si>
  <si>
    <t>SL</t>
  </si>
  <si>
    <t>Enter Check Dam Height</t>
  </si>
  <si>
    <t>Ch</t>
  </si>
  <si>
    <t>Check Dam Spacing</t>
  </si>
  <si>
    <t>Cs</t>
  </si>
  <si>
    <t>Number of Check Dams Required</t>
  </si>
  <si>
    <t>10-yr 24-hr Flow Depth</t>
  </si>
  <si>
    <t>d10</t>
  </si>
  <si>
    <t>10-yr Storm Flow Top Width</t>
  </si>
  <si>
    <t>W10</t>
  </si>
  <si>
    <t>Area of 10-yr 24-hr Flow</t>
  </si>
  <si>
    <t>A10</t>
  </si>
  <si>
    <t>10-yr Flow Wetted Perimeter</t>
  </si>
  <si>
    <t>Pw10</t>
  </si>
  <si>
    <t>Manning's Coefficient</t>
  </si>
  <si>
    <t>0.03 to 0.15 (Refer to Appendix G)</t>
  </si>
  <si>
    <t>10-yr Peak Discharge Velocity</t>
  </si>
  <si>
    <t>V10</t>
  </si>
  <si>
    <t>10-yr Peak Discharge Freeboard</t>
  </si>
  <si>
    <t>Determine Runoff Reduction</t>
  </si>
  <si>
    <t>Select rain garden type</t>
  </si>
  <si>
    <t>Enter loading ratio of (X:1)</t>
  </si>
  <si>
    <t>Does the contributing area exceed 1,000 sf?</t>
  </si>
  <si>
    <t>Enter distance from downspout or impervious area treated (ft)</t>
  </si>
  <si>
    <t>Does contributing area contain parking lot or roadway runoff?</t>
  </si>
  <si>
    <t>Enter depth of surface layer (inches)</t>
  </si>
  <si>
    <t>Enter Depth of Soil Media</t>
  </si>
  <si>
    <t>Enter Permeability Flow Rate</t>
  </si>
  <si>
    <t>Required Filter Area</t>
  </si>
  <si>
    <t>Enter Provided Filter Area</t>
  </si>
  <si>
    <t>Recalculated Water Quality Volume (based on provided filter area)</t>
  </si>
  <si>
    <t>WQv calc</t>
  </si>
  <si>
    <t>Filtration Rain Garden</t>
  </si>
  <si>
    <t>Select stormwater planter type</t>
  </si>
  <si>
    <t>Does the contributing area exceed 15,000 sf?</t>
  </si>
  <si>
    <t>Filter Time</t>
  </si>
  <si>
    <t>Filtration Stormwater Planter</t>
  </si>
  <si>
    <t>Required Storage Volume</t>
  </si>
  <si>
    <t>Gallons</t>
  </si>
  <si>
    <t>Enter Number of Rainwater Harvesting Systems Proposed</t>
  </si>
  <si>
    <t>Enter Volume per Rainwater Harvesting System</t>
  </si>
  <si>
    <t>Provided Storage Volume</t>
  </si>
  <si>
    <t>Required Cistern Storage Volume</t>
  </si>
  <si>
    <t>Select porous pavement type</t>
  </si>
  <si>
    <t>Enter underlying soil infiltration rate (inch/hr) (based on geotechnical testing, refer to Appendix D)</t>
  </si>
  <si>
    <t>Is runoff conveyed via sheet flow across the porous pavement surface?</t>
  </si>
  <si>
    <t>Enter depth of binder course (inches)</t>
  </si>
  <si>
    <t>Enter depth of bedding course (inches)</t>
  </si>
  <si>
    <t>Enter depth of choker course (inches)</t>
  </si>
  <si>
    <t>Enter depth of drainage layer (inches)</t>
  </si>
  <si>
    <t>Enter Practice Surface Area</t>
  </si>
  <si>
    <t>Ap</t>
  </si>
  <si>
    <t>Porosity</t>
  </si>
  <si>
    <t>Calculated stone reservoir depth</t>
  </si>
  <si>
    <t>dp</t>
  </si>
  <si>
    <t>Required stone reservoir depth</t>
  </si>
  <si>
    <t>Enter stone reservoir depth provided</t>
  </si>
  <si>
    <t>Total required length of underdrain piping</t>
  </si>
  <si>
    <t>Lt</t>
  </si>
  <si>
    <t>Enter underdrain spacing          (on center)</t>
  </si>
  <si>
    <t>Enter design length of    underdrain pipe</t>
  </si>
  <si>
    <t>Lu</t>
  </si>
  <si>
    <t>Number of underdrains required</t>
  </si>
  <si>
    <t>N</t>
  </si>
  <si>
    <t>Enter number of underdrains provided</t>
  </si>
  <si>
    <t>Determine the Runoff Reduction</t>
  </si>
  <si>
    <t>Level 2 Porous Asphalt</t>
  </si>
  <si>
    <r>
      <t xml:space="preserve">Percent Impervious
</t>
    </r>
    <r>
      <rPr>
        <i/>
        <sz val="10"/>
        <color theme="1"/>
        <rFont val="Arial"/>
        <family val="2"/>
      </rPr>
      <t>%</t>
    </r>
  </si>
  <si>
    <t>Select green roof type</t>
  </si>
  <si>
    <t>Enter roof slope (%)</t>
  </si>
  <si>
    <t>Enter depth of roof flashing above filter media (inches)</t>
  </si>
  <si>
    <t>Is a drainage layer, meeting the material specifications, proposed?</t>
  </si>
  <si>
    <t>Is a root barrier, meeting the material specifications, proposed?</t>
  </si>
  <si>
    <t>Is waterproofing, meeting the material specifications, proposed?</t>
  </si>
  <si>
    <t>Does the waterproofing system have a warranty for repair due to water damage?</t>
  </si>
  <si>
    <t>Enter Green Roof Surface Area</t>
  </si>
  <si>
    <t>AGR</t>
  </si>
  <si>
    <t>DSM</t>
  </si>
  <si>
    <t>Enter Depth of Drainage Layer</t>
  </si>
  <si>
    <t>DDL</t>
  </si>
  <si>
    <t>Enter Max. Water Retention of Soil Media</t>
  </si>
  <si>
    <t>nSM</t>
  </si>
  <si>
    <t>Provide supporting documentation</t>
  </si>
  <si>
    <t>Enter Max. Water Retention of Drainage Layer</t>
  </si>
  <si>
    <t>nDL</t>
  </si>
  <si>
    <t>Volume Provided</t>
  </si>
  <si>
    <t>Select pond type</t>
  </si>
  <si>
    <t>Is the pond located within jurisdictional waters?</t>
  </si>
  <si>
    <t>Enter the natural slope of the pond area (%)</t>
  </si>
  <si>
    <t xml:space="preserve">Enter underlying soil infiltration rate (based on geotechnical testing, refer to Appendix D). </t>
  </si>
  <si>
    <t>Has an impermeable liner been provided?</t>
  </si>
  <si>
    <t>Is the pond located within a sole source aquifer?</t>
  </si>
  <si>
    <t>Is the pond located within a designated hotspot?</t>
  </si>
  <si>
    <t>Enter depth to sound bedrock (ft)</t>
  </si>
  <si>
    <t>Total WQv Provided</t>
  </si>
  <si>
    <t>Is the contributing area less than the minimum contributing area?</t>
  </si>
  <si>
    <t>Will the pond discharge to trout waters?</t>
  </si>
  <si>
    <t>Has a controlled outlet been provided?</t>
  </si>
  <si>
    <t>Has an emergency spillway been provided?</t>
  </si>
  <si>
    <t>Has pretreatment been provided per Section 6.1.3?</t>
  </si>
  <si>
    <t>Enter freeboard depth (ft)</t>
  </si>
  <si>
    <t>Enter side slopes above permanent pool (X:1)</t>
  </si>
  <si>
    <t>Enter aquatic bench slope (%)</t>
  </si>
  <si>
    <t>Enter aquatic bench slope to pond floor (X:1)</t>
  </si>
  <si>
    <t>Enter min. aquatic bench width provided (ft)</t>
  </si>
  <si>
    <t>Enter aquatic bench average width provided (ft)</t>
  </si>
  <si>
    <t>Enter aquatic bench depth (inches)</t>
  </si>
  <si>
    <t>Enter maintenance access slope (%)</t>
  </si>
  <si>
    <t>Enter maintenance access width (ft)</t>
  </si>
  <si>
    <t>Enter permanent pool depth (ft)</t>
  </si>
  <si>
    <t>Minimum permanent pool depth per Water Balance Calculation (ft)</t>
  </si>
  <si>
    <t>Required Water Quality Volume</t>
  </si>
  <si>
    <t>Pretreatment WQv Provided</t>
  </si>
  <si>
    <t>Permanent Pool WQv Provided</t>
  </si>
  <si>
    <t>Extended Detention WQv Provided</t>
  </si>
  <si>
    <t>Determine the Water Quality Volume Treated</t>
  </si>
  <si>
    <t>Water Quality Volume Treated</t>
  </si>
  <si>
    <t>Select wetland type</t>
  </si>
  <si>
    <t>Is the wetland located within jurisdictional waters?</t>
  </si>
  <si>
    <t>Enter the natural slope of the wetland area (%)</t>
  </si>
  <si>
    <t>Is the wetland located within a sole source aquifer?</t>
  </si>
  <si>
    <t>Is the wetland located within a designated hotspot?</t>
  </si>
  <si>
    <t>Is contributing area less than min. contributing area?</t>
  </si>
  <si>
    <t>Has pretreatment been provided per Section 6.2.3?</t>
  </si>
  <si>
    <t>Enter pretreatment WQv provided</t>
  </si>
  <si>
    <t>Enter high marsh depth</t>
  </si>
  <si>
    <t>Enter high marsh side slope</t>
  </si>
  <si>
    <t>Enter high marsh surface area</t>
  </si>
  <si>
    <t>%</t>
  </si>
  <si>
    <t>Enter low marsh depth</t>
  </si>
  <si>
    <t>Enter low marsh side slope</t>
  </si>
  <si>
    <t>Enter low marsh surface area</t>
  </si>
  <si>
    <t>Enter micropool depth</t>
  </si>
  <si>
    <t>Enter micropool side slope</t>
  </si>
  <si>
    <t>Enter micropool WQv storage</t>
  </si>
  <si>
    <t>Enter pond depth</t>
  </si>
  <si>
    <t>Enter pond side slope</t>
  </si>
  <si>
    <t>Enter pond WQv storage</t>
  </si>
  <si>
    <t>Enter extended detention depth</t>
  </si>
  <si>
    <t>Enter extended detention side slope</t>
  </si>
  <si>
    <t>Enter extended detention WQv storage</t>
  </si>
  <si>
    <t>Is contributing area greater than max. contributing area?</t>
  </si>
  <si>
    <t>Has a primary outlet been provided?</t>
  </si>
  <si>
    <t>Has an outlet control structure been provided?</t>
  </si>
  <si>
    <t>Has a maintenance outlet been provided?</t>
  </si>
  <si>
    <t>Enter pea gravel depth (inches)</t>
  </si>
  <si>
    <t>Enter filter course depth (inches)</t>
  </si>
  <si>
    <t>Enter drainage course depth (inches)</t>
  </si>
  <si>
    <t>Has an equalizer pipe been provided?</t>
  </si>
  <si>
    <t>Has a distribution drain been provided?</t>
  </si>
  <si>
    <t>Has a riser pipe been provided?</t>
  </si>
  <si>
    <t>Enter WQv storage provided above treatment cell(s)</t>
  </si>
  <si>
    <t>Enter minimum flow path length</t>
  </si>
  <si>
    <t>Is the contributing area greater than 5 acres?</t>
  </si>
  <si>
    <t>Enter pretreatment volume provided (cf)</t>
  </si>
  <si>
    <t>Enter depth of pea gravel (inches)</t>
  </si>
  <si>
    <t>Enter depth of stone reservoir (ft)</t>
  </si>
  <si>
    <t>Is an observation well provided?</t>
  </si>
  <si>
    <t>Stone Reservoir Depth</t>
  </si>
  <si>
    <t>dt</t>
  </si>
  <si>
    <t>Required Surface Area</t>
  </si>
  <si>
    <t>At</t>
  </si>
  <si>
    <t>Enter Surface Area Provided</t>
  </si>
  <si>
    <t>Maximum contributing area (acres)</t>
  </si>
  <si>
    <t>Is the contributing area greater than the maximum allowed contributing area?</t>
  </si>
  <si>
    <t>Enter depth of freeboard (ft)</t>
  </si>
  <si>
    <t>Enter depth of basin (ft)</t>
  </si>
  <si>
    <t>Enter slope of maintenance access (%)</t>
  </si>
  <si>
    <t>Enter width of maintenance access (ft)</t>
  </si>
  <si>
    <t>Basin depth</t>
  </si>
  <si>
    <t>db</t>
  </si>
  <si>
    <t>Ab</t>
  </si>
  <si>
    <t>Contributing area (acres)</t>
  </si>
  <si>
    <t>Enter stone reservoir thickness (ft)</t>
  </si>
  <si>
    <t>Inside Radius of Dry Well</t>
  </si>
  <si>
    <t>r</t>
  </si>
  <si>
    <t>Inside Height of Dry Well</t>
  </si>
  <si>
    <t>H</t>
  </si>
  <si>
    <t>Inside Volume of Dry Well</t>
  </si>
  <si>
    <t>Vi</t>
  </si>
  <si>
    <t>Dry Well Wall Thickness</t>
  </si>
  <si>
    <t>t</t>
  </si>
  <si>
    <t>Volume of Stone Reservoir</t>
  </si>
  <si>
    <t>Vs</t>
  </si>
  <si>
    <t>Volume Provided Per Drywell</t>
  </si>
  <si>
    <t>Vw</t>
  </si>
  <si>
    <t>Number of Dry Wells</t>
  </si>
  <si>
    <t>Water Quality Volume Provided</t>
  </si>
  <si>
    <t>Is the contributing area greater than 10 acres?</t>
  </si>
  <si>
    <t>Depth of Bottom Stone</t>
  </si>
  <si>
    <t>Enter Volume of Stone</t>
  </si>
  <si>
    <t>Volume of stone shall account for 40% voids</t>
  </si>
  <si>
    <t>Enter Volume of System</t>
  </si>
  <si>
    <t>Vsys</t>
  </si>
  <si>
    <t>Volume of system shall exclude stone</t>
  </si>
  <si>
    <t>Select filter type</t>
  </si>
  <si>
    <t>Enter filter media longitudinal slope (%)</t>
  </si>
  <si>
    <t>Enter filter media lateral slope (%)</t>
  </si>
  <si>
    <t>Is the filter located within a designated hotspot?</t>
  </si>
  <si>
    <t>Is an underdrain proposed?</t>
  </si>
  <si>
    <t>Is an emergency spillway or overflow chamber provided?</t>
  </si>
  <si>
    <t>Has pretreatment been provided per Section 6.4.3?</t>
  </si>
  <si>
    <t>Enter minimum internal structure height (ft)</t>
  </si>
  <si>
    <t>Enter Average Height of Ponding (ft)</t>
  </si>
  <si>
    <t>Enter height of Extreme Flood ponding (ft)</t>
  </si>
  <si>
    <t>Enter depth of filter media (ft)</t>
  </si>
  <si>
    <t>Enter average height of ponding (ft)</t>
  </si>
  <si>
    <t>Yes</t>
  </si>
  <si>
    <t>Bioretention</t>
  </si>
  <si>
    <t>Cistern-Rainbarrel</t>
  </si>
  <si>
    <t>Conservation of Natural Areas</t>
  </si>
  <si>
    <t>Dry Swale</t>
  </si>
  <si>
    <t>Riprarian Buffers</t>
  </si>
  <si>
    <t>Green Roof</t>
  </si>
  <si>
    <t>Filter Strips</t>
  </si>
  <si>
    <t>Tree Planting</t>
  </si>
  <si>
    <t>Disconnection of Rooftops</t>
  </si>
  <si>
    <t>Planter</t>
  </si>
  <si>
    <t>N/A</t>
  </si>
  <si>
    <t>Other/Standard SMP</t>
  </si>
  <si>
    <t>Green Roof (Ext)</t>
  </si>
  <si>
    <t>Green Roof (Intensive)</t>
  </si>
  <si>
    <t>Riparian Buffer</t>
  </si>
  <si>
    <t>Tree Planting/Tree Pit</t>
  </si>
  <si>
    <t>Modified C</t>
  </si>
  <si>
    <t>Modified D</t>
  </si>
  <si>
    <t>Considered &amp; Applied</t>
  </si>
  <si>
    <t>Considered &amp; Not Applied</t>
  </si>
  <si>
    <t>Area</t>
  </si>
  <si>
    <t>Volume</t>
  </si>
  <si>
    <t>Sedimentation Basin</t>
  </si>
  <si>
    <t>Sump Pit</t>
  </si>
  <si>
    <t>Grass Channel</t>
  </si>
  <si>
    <t>Plunge Pool</t>
  </si>
  <si>
    <t>Other</t>
  </si>
  <si>
    <t>Is the contributing area to the practice a stormwater hotspot?</t>
  </si>
  <si>
    <t>Is the practice the first in series for treatment of a Level 1 (Infiltration Restricted) hotspot?</t>
  </si>
  <si>
    <t>This is the portion of the WQv that is not reduced in the practice.</t>
  </si>
  <si>
    <t>Is an underdrain provided?</t>
  </si>
  <si>
    <t>Is the contributing area to the practice a designated hotspot?</t>
  </si>
  <si>
    <t>Enter contributing impervious flow path length (ft)</t>
  </si>
  <si>
    <t>Enter total contributing flow path length (ft)</t>
  </si>
  <si>
    <t>Is a pretreatment pea gravel diaphragm and grass filter strip provided?</t>
  </si>
  <si>
    <t>Peak Water Quality Flow Rate</t>
  </si>
  <si>
    <t>Enter Bioslope Length</t>
  </si>
  <si>
    <t>Required Bioslope Width</t>
  </si>
  <si>
    <t>W</t>
  </si>
  <si>
    <r>
      <t xml:space="preserve">Contributing Area
</t>
    </r>
    <r>
      <rPr>
        <sz val="10"/>
        <color rgb="FF000000"/>
        <rFont val="Arial"/>
        <family val="2"/>
      </rPr>
      <t>(Acres)</t>
    </r>
  </si>
  <si>
    <r>
      <t xml:space="preserve">Impervious Area
</t>
    </r>
    <r>
      <rPr>
        <sz val="10"/>
        <color rgb="FF000000"/>
        <rFont val="Arial"/>
        <family val="2"/>
      </rPr>
      <t>(Acres)</t>
    </r>
  </si>
  <si>
    <r>
      <t xml:space="preserve">Percent Impervious
</t>
    </r>
    <r>
      <rPr>
        <sz val="10"/>
        <color rgb="FF000000"/>
        <rFont val="Arial"/>
        <family val="2"/>
      </rPr>
      <t>%</t>
    </r>
  </si>
  <si>
    <r>
      <t xml:space="preserve">WQv
</t>
    </r>
    <r>
      <rPr>
        <sz val="10"/>
        <color rgb="FF000000"/>
        <rFont val="Arial"/>
        <family val="2"/>
      </rPr>
      <t>(ft</t>
    </r>
    <r>
      <rPr>
        <vertAlign val="superscript"/>
        <sz val="10"/>
        <color rgb="FF000000"/>
        <rFont val="Arial"/>
        <family val="2"/>
      </rPr>
      <t>3</t>
    </r>
    <r>
      <rPr>
        <sz val="10"/>
        <color rgb="FF000000"/>
        <rFont val="Arial"/>
        <family val="2"/>
      </rPr>
      <t>)</t>
    </r>
  </si>
  <si>
    <r>
      <t xml:space="preserve">Precipitation
</t>
    </r>
    <r>
      <rPr>
        <sz val="10"/>
        <color rgb="FF000000"/>
        <rFont val="Arial"/>
        <family val="2"/>
      </rPr>
      <t>(in)</t>
    </r>
  </si>
  <si>
    <t>Enter depth of filter media (inches)</t>
  </si>
  <si>
    <t>Enter Side Slopes</t>
  </si>
  <si>
    <t>Channel Area</t>
  </si>
  <si>
    <t>Required Channel Length</t>
  </si>
  <si>
    <t>Enter Provided Channel Length</t>
  </si>
  <si>
    <t>Channel Volume Provided</t>
  </si>
  <si>
    <t>Vc</t>
  </si>
  <si>
    <t>2-yr 24-hr Flow Depth</t>
  </si>
  <si>
    <t>d2</t>
  </si>
  <si>
    <t>2-yr Storm Flow Top Width</t>
  </si>
  <si>
    <t>W2</t>
  </si>
  <si>
    <t>Area of 2-yr 24-hr Flow</t>
  </si>
  <si>
    <t>A2</t>
  </si>
  <si>
    <t>2-yr Wetted Perimeter</t>
  </si>
  <si>
    <t>Pw2</t>
  </si>
  <si>
    <t>Enter Mannings Coef.</t>
  </si>
  <si>
    <t>Enter Longitudinal Slope</t>
  </si>
  <si>
    <t>2-yr Velocity</t>
  </si>
  <si>
    <t>Enter 10-yr Freeboard</t>
  </si>
  <si>
    <t>This is the portion of the WQv that is not reduced/infiltrated</t>
  </si>
  <si>
    <t>Is the alternative practice included in the NJCAT Verification Database, NJDEP list of approved Manufactured Treatment Devices or TAPE list of Approved Technologies for General Use Level?</t>
  </si>
  <si>
    <t>Is the flow based practice proposed for area of new development?</t>
  </si>
  <si>
    <t>If proposed for new development, is the practice included on NYSDEC list for Verified Proprietary Practices for New Development?</t>
  </si>
  <si>
    <t>Is the practice being designed off-line?</t>
  </si>
  <si>
    <t>If designed off-line, has flow diversion been included?</t>
  </si>
  <si>
    <t>Enter Extreme Flood peak flow rate (cfs)</t>
  </si>
  <si>
    <t>Enter alternative practice bypass capacity (cfs)</t>
  </si>
  <si>
    <t>Enter name and manufacturer of alternative practice</t>
  </si>
  <si>
    <t>Enter Maximum Treatment Flow Rate (MTFR) of Alternative Practice</t>
  </si>
  <si>
    <t>Q</t>
  </si>
  <si>
    <t>Step 2 - Determine the Water Quality Treatment Volume</t>
  </si>
  <si>
    <t>Water Quality Volume Required</t>
  </si>
  <si>
    <t>Step 3 - Solve for the Calculated P90 Value</t>
  </si>
  <si>
    <t>Subcatchment Area - 1</t>
  </si>
  <si>
    <t>A1</t>
  </si>
  <si>
    <t>Area 1 Curve Number</t>
  </si>
  <si>
    <t>CN1</t>
  </si>
  <si>
    <t>Subcatchment Area - 2</t>
  </si>
  <si>
    <t>Area 2 Curve Number</t>
  </si>
  <si>
    <t>CN2</t>
  </si>
  <si>
    <t>Subcatchment Area - 3</t>
  </si>
  <si>
    <t>A3</t>
  </si>
  <si>
    <t>Area 3 Curve Number</t>
  </si>
  <si>
    <t>CN3</t>
  </si>
  <si>
    <t>Subcatchment Area - 4</t>
  </si>
  <si>
    <t>A4</t>
  </si>
  <si>
    <t>Area 4 Curve Number</t>
  </si>
  <si>
    <t>CN4</t>
  </si>
  <si>
    <t>Subcatchment Area - 5</t>
  </si>
  <si>
    <t>A5</t>
  </si>
  <si>
    <t>Area 5 Curve Number</t>
  </si>
  <si>
    <t>CN5</t>
  </si>
  <si>
    <t>Subcatchment Area - 6</t>
  </si>
  <si>
    <t>A6</t>
  </si>
  <si>
    <t>Area 6 Curve Number</t>
  </si>
  <si>
    <t>CN6</t>
  </si>
  <si>
    <t>Subcatchment Area - 7</t>
  </si>
  <si>
    <t>A7</t>
  </si>
  <si>
    <t>Area 7 Curve Number</t>
  </si>
  <si>
    <t>CN7</t>
  </si>
  <si>
    <t>Subcatchment Area - 8</t>
  </si>
  <si>
    <t>A8</t>
  </si>
  <si>
    <t>Area 8 Curve Number</t>
  </si>
  <si>
    <t>CN8</t>
  </si>
  <si>
    <t>Subcatchment Area - 9</t>
  </si>
  <si>
    <t>A9</t>
  </si>
  <si>
    <t>Area 9 Curve Number</t>
  </si>
  <si>
    <t>CN9</t>
  </si>
  <si>
    <t>Subcatchment Area - 10</t>
  </si>
  <si>
    <t>Area 10 Curve Number</t>
  </si>
  <si>
    <t>CN10</t>
  </si>
  <si>
    <t>Weighted Curve Number</t>
  </si>
  <si>
    <t>CNw</t>
  </si>
  <si>
    <t>Maximum Basin Retention</t>
  </si>
  <si>
    <t>Runoff</t>
  </si>
  <si>
    <t>Calculated Rainfall Value</t>
  </si>
  <si>
    <t>P90</t>
  </si>
  <si>
    <t>Errata</t>
  </si>
  <si>
    <t>Date</t>
  </si>
  <si>
    <t>Worksheet</t>
  </si>
  <si>
    <t>Reference</t>
  </si>
  <si>
    <t>Level 1 Porous Asphalt</t>
  </si>
  <si>
    <t>Porous Concrete</t>
  </si>
  <si>
    <t>Porous Paver</t>
  </si>
  <si>
    <t>Infiltration Rain Garden</t>
  </si>
  <si>
    <t>Infiltration Stormwater Planter</t>
  </si>
  <si>
    <t>Extensive Green Roof</t>
  </si>
  <si>
    <t>Intensive Green Roof</t>
  </si>
  <si>
    <t>Sheetflow to Riparian Buffer</t>
  </si>
  <si>
    <t>Sheet Flow to Grass Filter Strip</t>
  </si>
  <si>
    <t>Tree Pit</t>
  </si>
  <si>
    <t>Tree Trench</t>
  </si>
  <si>
    <t>Micropool Extended Detention Pond</t>
  </si>
  <si>
    <t>Wet Extended Detention Pond</t>
  </si>
  <si>
    <t>New Construction</t>
  </si>
  <si>
    <t>Redevelopment with increase in impervious area</t>
  </si>
  <si>
    <t>Redevelopment with no increase in impervious area</t>
  </si>
  <si>
    <t>Enter the flow length of the contributing area (ft)</t>
  </si>
  <si>
    <t>Is the practice located in a sole source aquifer?</t>
  </si>
  <si>
    <t>What slope is the practice located on? (%)</t>
  </si>
  <si>
    <t>Enter side slopes of the basin (X:1)</t>
  </si>
  <si>
    <t>What is the embankment slope this practice is located on? (X:1)</t>
  </si>
  <si>
    <t>What is the logitudinal slope? (Parallel with the embankment) (%)</t>
  </si>
  <si>
    <t>Enter the Soils Data for the entire site</t>
  </si>
  <si>
    <t>eNOI Question 49</t>
  </si>
  <si>
    <t>Is pretreatment provided, in conformance with Section 6.4.3.1?</t>
  </si>
  <si>
    <t>List any drainage areas treated by other practices that will be directed to this practice.</t>
  </si>
  <si>
    <t>Additional Areas</t>
  </si>
  <si>
    <t>Enter depth to seasonal high water table (ft)
(4 ft min separation in sole source aquifer)</t>
  </si>
  <si>
    <t>Enter the proposed slope across the finished surface (%)</t>
  </si>
  <si>
    <t>Will the wetland discharge to trout waters?</t>
  </si>
  <si>
    <t>Additional Areas (Acres)</t>
  </si>
  <si>
    <r>
      <t xml:space="preserve">Is the contributing area to the practice an "Infiltration </t>
    </r>
    <r>
      <rPr>
        <u/>
        <sz val="10"/>
        <color theme="1"/>
        <rFont val="Arial"/>
        <family val="2"/>
      </rPr>
      <t>Restricted</t>
    </r>
    <r>
      <rPr>
        <sz val="10"/>
        <color theme="1"/>
        <rFont val="Arial"/>
        <family val="2"/>
      </rPr>
      <t>" stormwater hotspot?</t>
    </r>
  </si>
  <si>
    <r>
      <t xml:space="preserve">Is the contributing area to the practice an "Infiltration </t>
    </r>
    <r>
      <rPr>
        <u/>
        <sz val="10"/>
        <color theme="1"/>
        <rFont val="Arial"/>
        <family val="2"/>
      </rPr>
      <t>Prohibited</t>
    </r>
    <r>
      <rPr>
        <sz val="10"/>
        <color theme="1"/>
        <rFont val="Arial"/>
        <family val="2"/>
      </rPr>
      <t>" stormwater hotspot?</t>
    </r>
  </si>
  <si>
    <t>Required Bottom Surface Area</t>
  </si>
  <si>
    <t>Enter Bottom Area Provided</t>
  </si>
  <si>
    <t>Bioslope length equals contributing area length</t>
  </si>
  <si>
    <t>Enter Provided Bioslope Width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</si>
</sst>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0"/>
    <numFmt numFmtId="166" formatCode="0.0"/>
    <numFmt numFmtId="167" formatCode="#,##0.000"/>
    <numFmt numFmtId="168" formatCode="#,##0.0"/>
  </numFmts>
  <fonts count="17" x14ac:knownFonts="1">
    <font>
      <sz val="11"/>
      <color theme="1"/>
      <name val="Calibri"/>
      <family val="2"/>
      <scheme val="minor"/>
    </font>
    <font>
      <sz val="11"/>
      <color theme="1"/>
      <name val="Calibri"/>
      <family val="2"/>
      <scheme val="minor"/>
    </font>
    <font>
      <sz val="11"/>
      <color theme="1"/>
      <name val="Arial"/>
      <family val="2"/>
    </font>
    <font>
      <b/>
      <sz val="10"/>
      <color theme="1"/>
      <name val="Arial"/>
      <family val="2"/>
    </font>
    <font>
      <i/>
      <sz val="10"/>
      <color theme="1"/>
      <name val="Arial"/>
      <family val="2"/>
    </font>
    <font>
      <sz val="10"/>
      <color theme="1"/>
      <name val="Arial"/>
      <family val="2"/>
    </font>
    <font>
      <i/>
      <sz val="10"/>
      <color rgb="FFFF0000"/>
      <name val="Arial"/>
      <family val="2"/>
    </font>
    <font>
      <sz val="10"/>
      <color rgb="FFFF0000"/>
      <name val="Arial"/>
      <family val="2"/>
    </font>
    <font>
      <b/>
      <sz val="10"/>
      <name val="Arial"/>
      <family val="2"/>
    </font>
    <font>
      <b/>
      <i/>
      <sz val="10"/>
      <color theme="1"/>
      <name val="Arial"/>
      <family val="2"/>
    </font>
    <font>
      <sz val="10"/>
      <name val="Arial"/>
      <family val="2"/>
    </font>
    <font>
      <sz val="10"/>
      <color rgb="FF000000"/>
      <name val="Arial"/>
      <family val="2"/>
    </font>
    <font>
      <u/>
      <sz val="10"/>
      <color theme="1"/>
      <name val="Arial"/>
      <family val="2"/>
    </font>
    <font>
      <b/>
      <sz val="10"/>
      <color rgb="FF000000"/>
      <name val="Arial"/>
      <family val="2"/>
    </font>
    <font>
      <b/>
      <i/>
      <sz val="10"/>
      <color rgb="FF000000"/>
      <name val="Arial"/>
      <family val="2"/>
    </font>
    <font>
      <vertAlign val="superscript"/>
      <sz val="10"/>
      <color rgb="FF000000"/>
      <name val="Arial"/>
      <family val="2"/>
    </font>
    <font>
      <b/>
      <u/>
      <sz val="10"/>
      <color theme="1"/>
      <name val="Arial"/>
      <family val="2"/>
    </font>
  </fonts>
  <fills count="1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rgb="FFB6FDA3"/>
        <bgColor indexed="64"/>
      </patternFill>
    </fill>
    <fill>
      <patternFill patternType="solid">
        <fgColor theme="1" tint="0.499984740745262"/>
        <bgColor indexed="64"/>
      </patternFill>
    </fill>
    <fill>
      <patternFill patternType="solid">
        <fgColor theme="3" tint="0.79995117038483843"/>
        <bgColor indexed="64"/>
      </patternFill>
    </fill>
    <fill>
      <patternFill patternType="solid">
        <fgColor theme="3" tint="0.59996337778862885"/>
        <bgColor indexed="64"/>
      </patternFill>
    </fill>
    <fill>
      <patternFill patternType="solid">
        <fgColor rgb="FF8DB3E2"/>
        <bgColor rgb="FF8DB3E2"/>
      </patternFill>
    </fill>
    <fill>
      <patternFill patternType="solid">
        <fgColor rgb="FFC6D9F0"/>
        <bgColor rgb="FFC6D9F0"/>
      </patternFill>
    </fill>
    <fill>
      <patternFill patternType="solid">
        <fgColor rgb="FFB6FDA3"/>
        <bgColor rgb="FFB6FDA3"/>
      </patternFill>
    </fill>
  </fills>
  <borders count="5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indexed="64"/>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diagonal/>
    </border>
    <border>
      <left style="thin">
        <color rgb="FF000000"/>
      </left>
      <right/>
      <top/>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top/>
      <bottom style="thin">
        <color rgb="FF000000"/>
      </bottom>
      <diagonal/>
    </border>
    <border>
      <left/>
      <right style="thin">
        <color indexed="64"/>
      </right>
      <top/>
      <bottom style="thin">
        <color rgb="FF000000"/>
      </bottom>
      <diagonal/>
    </border>
  </borders>
  <cellStyleXfs count="2">
    <xf numFmtId="0" fontId="0" fillId="0" borderId="0"/>
    <xf numFmtId="9" fontId="1" fillId="0" borderId="0" applyFont="0" applyFill="0" applyBorder="0" applyAlignment="0" applyProtection="0"/>
  </cellStyleXfs>
  <cellXfs count="450">
    <xf numFmtId="0" fontId="0" fillId="0" borderId="0" xfId="0"/>
    <xf numFmtId="0" fontId="0" fillId="0" borderId="0" xfId="0" applyAlignment="1">
      <alignment wrapText="1"/>
    </xf>
    <xf numFmtId="0" fontId="0" fillId="0" borderId="0" xfId="0" applyAlignment="1">
      <alignment horizontal="center"/>
    </xf>
    <xf numFmtId="2" fontId="5" fillId="0" borderId="10" xfId="0" applyNumberFormat="1" applyFont="1" applyBorder="1" applyAlignment="1">
      <alignment horizontal="center" vertical="center" wrapText="1"/>
    </xf>
    <xf numFmtId="0" fontId="5" fillId="0" borderId="0" xfId="0" applyFont="1" applyAlignment="1">
      <alignment wrapText="1"/>
    </xf>
    <xf numFmtId="0" fontId="5" fillId="0" borderId="0" xfId="0" applyFont="1"/>
    <xf numFmtId="0" fontId="5" fillId="4" borderId="9" xfId="0" applyFont="1" applyFill="1" applyBorder="1" applyAlignment="1" applyProtection="1">
      <alignment wrapText="1"/>
      <protection locked="0"/>
    </xf>
    <xf numFmtId="2" fontId="5" fillId="10" borderId="13" xfId="0" applyNumberFormat="1" applyFont="1" applyFill="1" applyBorder="1" applyAlignment="1" applyProtection="1">
      <alignment horizontal="center" vertical="center" wrapText="1"/>
      <protection locked="0"/>
    </xf>
    <xf numFmtId="0" fontId="5" fillId="4" borderId="10" xfId="0" applyFont="1" applyFill="1" applyBorder="1" applyAlignment="1" applyProtection="1">
      <alignment vertical="center" wrapText="1"/>
      <protection locked="0"/>
    </xf>
    <xf numFmtId="3" fontId="3" fillId="8" borderId="10" xfId="0" applyNumberFormat="1" applyFont="1" applyFill="1" applyBorder="1" applyAlignment="1">
      <alignment horizontal="center" vertical="center" wrapText="1"/>
    </xf>
    <xf numFmtId="165" fontId="5" fillId="0" borderId="0" xfId="0" applyNumberFormat="1" applyFont="1" applyAlignment="1">
      <alignment horizontal="center" wrapText="1"/>
    </xf>
    <xf numFmtId="165" fontId="5" fillId="0" borderId="0" xfId="0" applyNumberFormat="1" applyFont="1" applyAlignment="1">
      <alignment wrapText="1"/>
    </xf>
    <xf numFmtId="0" fontId="5" fillId="0" borderId="0" xfId="0" applyFont="1" applyAlignment="1">
      <alignment vertical="center" wrapText="1"/>
    </xf>
    <xf numFmtId="2" fontId="3" fillId="0" borderId="2" xfId="1" applyNumberFormat="1" applyFont="1" applyBorder="1" applyAlignment="1" applyProtection="1">
      <alignment horizontal="center" vertical="center" wrapText="1"/>
    </xf>
    <xf numFmtId="0" fontId="4" fillId="0" borderId="10" xfId="0" applyFont="1" applyBorder="1" applyAlignment="1">
      <alignment vertical="center" wrapText="1"/>
    </xf>
    <xf numFmtId="9" fontId="5" fillId="0" borderId="0" xfId="1" applyFont="1" applyBorder="1" applyAlignment="1" applyProtection="1">
      <alignment horizontal="center" vertical="center" wrapText="1"/>
    </xf>
    <xf numFmtId="0" fontId="3" fillId="11" borderId="10" xfId="0" applyFont="1" applyFill="1" applyBorder="1" applyAlignment="1">
      <alignment horizontal="right" vertical="center" wrapText="1"/>
    </xf>
    <xf numFmtId="0" fontId="5" fillId="4" borderId="14" xfId="0" applyFont="1" applyFill="1" applyBorder="1" applyAlignment="1" applyProtection="1">
      <alignment horizontal="center" vertical="center" wrapText="1"/>
      <protection locked="0"/>
    </xf>
    <xf numFmtId="2" fontId="5" fillId="0" borderId="14" xfId="0" applyNumberFormat="1" applyFont="1" applyBorder="1" applyAlignment="1">
      <alignment horizontal="center" vertical="center" wrapText="1"/>
    </xf>
    <xf numFmtId="0" fontId="3" fillId="0" borderId="10" xfId="0" applyFont="1" applyBorder="1" applyAlignment="1">
      <alignment vertical="center" wrapText="1"/>
    </xf>
    <xf numFmtId="1" fontId="5" fillId="0" borderId="0" xfId="0" applyNumberFormat="1" applyFont="1" applyAlignment="1">
      <alignment horizontal="center" vertical="center" wrapText="1"/>
    </xf>
    <xf numFmtId="4" fontId="5" fillId="0" borderId="0" xfId="0" applyNumberFormat="1" applyFont="1" applyAlignment="1">
      <alignment horizontal="center" vertical="center" wrapText="1"/>
    </xf>
    <xf numFmtId="4" fontId="5" fillId="0" borderId="10" xfId="0" applyNumberFormat="1" applyFont="1" applyBorder="1" applyAlignment="1">
      <alignment horizontal="center" vertical="center" wrapText="1"/>
    </xf>
    <xf numFmtId="0" fontId="3" fillId="0" borderId="10" xfId="0" applyFont="1" applyBorder="1" applyAlignment="1">
      <alignment horizontal="center" wrapText="1"/>
    </xf>
    <xf numFmtId="0" fontId="3" fillId="11" borderId="10" xfId="0" applyFont="1" applyFill="1" applyBorder="1" applyAlignment="1">
      <alignment horizontal="right" wrapText="1"/>
    </xf>
    <xf numFmtId="1" fontId="5" fillId="4" borderId="10" xfId="0" applyNumberFormat="1" applyFont="1" applyFill="1" applyBorder="1" applyAlignment="1" applyProtection="1">
      <alignment horizontal="center" wrapText="1"/>
      <protection locked="0"/>
    </xf>
    <xf numFmtId="3" fontId="5" fillId="4" borderId="10" xfId="0" applyNumberFormat="1" applyFont="1" applyFill="1" applyBorder="1" applyAlignment="1" applyProtection="1">
      <alignment horizontal="center" wrapText="1"/>
      <protection locked="0"/>
    </xf>
    <xf numFmtId="4" fontId="5" fillId="0" borderId="14" xfId="0" applyNumberFormat="1" applyFont="1" applyBorder="1" applyAlignment="1">
      <alignment horizontal="center" vertical="center" wrapText="1"/>
    </xf>
    <xf numFmtId="3" fontId="5" fillId="0" borderId="0" xfId="0" applyNumberFormat="1" applyFont="1" applyAlignment="1">
      <alignment horizontal="center" vertical="center" wrapText="1"/>
    </xf>
    <xf numFmtId="0" fontId="5" fillId="0" borderId="14" xfId="0" applyFont="1" applyBorder="1" applyAlignment="1">
      <alignment horizontal="center" vertical="center" wrapText="1"/>
    </xf>
    <xf numFmtId="166" fontId="5" fillId="4" borderId="10" xfId="0" applyNumberFormat="1" applyFont="1" applyFill="1" applyBorder="1" applyAlignment="1" applyProtection="1">
      <alignment horizontal="center" vertical="center" wrapText="1"/>
      <protection locked="0"/>
    </xf>
    <xf numFmtId="0" fontId="3" fillId="0" borderId="1" xfId="0" applyFont="1" applyBorder="1" applyAlignment="1">
      <alignment horizontal="left" wrapText="1"/>
    </xf>
    <xf numFmtId="0" fontId="9"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0" xfId="0" applyFont="1" applyAlignment="1">
      <alignment wrapText="1"/>
    </xf>
    <xf numFmtId="0" fontId="12" fillId="3" borderId="2" xfId="0" applyFont="1" applyFill="1" applyBorder="1" applyAlignment="1">
      <alignment vertical="center" wrapText="1"/>
    </xf>
    <xf numFmtId="0" fontId="3" fillId="3" borderId="3" xfId="0" applyFont="1" applyFill="1" applyBorder="1" applyAlignment="1">
      <alignment vertical="center" wrapText="1"/>
    </xf>
    <xf numFmtId="0" fontId="12" fillId="3" borderId="4" xfId="0" applyFont="1" applyFill="1" applyBorder="1" applyAlignment="1">
      <alignment vertical="center" wrapText="1"/>
    </xf>
    <xf numFmtId="0" fontId="5" fillId="3" borderId="10" xfId="0" applyFont="1" applyFill="1" applyBorder="1" applyAlignment="1">
      <alignment vertical="center" wrapText="1"/>
    </xf>
    <xf numFmtId="0" fontId="2" fillId="0" borderId="0" xfId="0" applyFont="1"/>
    <xf numFmtId="14" fontId="5" fillId="0" borderId="0" xfId="0" applyNumberFormat="1" applyFont="1" applyAlignment="1">
      <alignment vertical="center"/>
    </xf>
    <xf numFmtId="14" fontId="5" fillId="0" borderId="0" xfId="0" applyNumberFormat="1" applyFont="1"/>
    <xf numFmtId="3" fontId="5" fillId="0" borderId="14" xfId="0" applyNumberFormat="1" applyFont="1" applyBorder="1" applyAlignment="1">
      <alignment horizontal="center" vertical="center" wrapText="1"/>
    </xf>
    <xf numFmtId="0" fontId="5" fillId="4" borderId="7" xfId="0" applyFont="1" applyFill="1" applyBorder="1" applyAlignment="1" applyProtection="1">
      <alignment horizontal="center" vertical="center" wrapText="1"/>
      <protection locked="0"/>
    </xf>
    <xf numFmtId="0" fontId="5" fillId="4" borderId="13" xfId="0" applyFont="1" applyFill="1" applyBorder="1" applyAlignment="1" applyProtection="1">
      <alignment horizontal="center" vertical="center" wrapText="1"/>
      <protection locked="0"/>
    </xf>
    <xf numFmtId="0" fontId="3" fillId="0" borderId="0" xfId="0" applyFont="1"/>
    <xf numFmtId="2" fontId="5" fillId="4" borderId="7" xfId="0" applyNumberFormat="1" applyFont="1" applyFill="1" applyBorder="1" applyAlignment="1" applyProtection="1">
      <alignment horizontal="center" vertical="center" wrapText="1"/>
      <protection locked="0"/>
    </xf>
    <xf numFmtId="0" fontId="11" fillId="12" borderId="31" xfId="0" applyFont="1" applyFill="1" applyBorder="1" applyAlignment="1">
      <alignment horizontal="center" wrapText="1"/>
    </xf>
    <xf numFmtId="0" fontId="11" fillId="12" borderId="39" xfId="0" applyFont="1" applyFill="1" applyBorder="1" applyAlignment="1">
      <alignment horizontal="left" wrapText="1"/>
    </xf>
    <xf numFmtId="2" fontId="5" fillId="0" borderId="0" xfId="0" applyNumberFormat="1" applyFont="1" applyAlignment="1">
      <alignment horizontal="center" vertical="center" wrapText="1"/>
    </xf>
    <xf numFmtId="2" fontId="5" fillId="4" borderId="3" xfId="1" applyNumberFormat="1" applyFont="1" applyFill="1" applyBorder="1" applyAlignment="1" applyProtection="1">
      <alignment horizontal="center" vertical="center" wrapText="1"/>
      <protection locked="0"/>
    </xf>
    <xf numFmtId="2" fontId="5" fillId="4" borderId="3" xfId="0" applyNumberFormat="1" applyFont="1" applyFill="1" applyBorder="1" applyAlignment="1" applyProtection="1">
      <alignment horizontal="center" vertical="center" wrapText="1"/>
      <protection locked="0"/>
    </xf>
    <xf numFmtId="1" fontId="5" fillId="0" borderId="10" xfId="1" applyNumberFormat="1" applyFont="1" applyFill="1" applyBorder="1" applyAlignment="1" applyProtection="1">
      <alignment horizontal="center" vertical="center" wrapText="1"/>
    </xf>
    <xf numFmtId="1" fontId="5" fillId="0" borderId="14" xfId="0" applyNumberFormat="1" applyFont="1" applyBorder="1" applyAlignment="1">
      <alignment horizontal="center" vertical="center" wrapText="1"/>
    </xf>
    <xf numFmtId="1" fontId="5" fillId="7" borderId="10" xfId="1" applyNumberFormat="1" applyFont="1" applyFill="1" applyBorder="1" applyAlignment="1" applyProtection="1">
      <alignment horizontal="center" vertical="center" wrapText="1"/>
    </xf>
    <xf numFmtId="3" fontId="5" fillId="4" borderId="10" xfId="0" applyNumberFormat="1" applyFont="1" applyFill="1" applyBorder="1" applyAlignment="1" applyProtection="1">
      <alignment horizontal="center" vertical="center" wrapText="1"/>
      <protection locked="0"/>
    </xf>
    <xf numFmtId="3" fontId="5" fillId="4" borderId="25" xfId="0" applyNumberFormat="1" applyFont="1" applyFill="1" applyBorder="1" applyAlignment="1" applyProtection="1">
      <alignment horizontal="center" vertical="center" wrapText="1"/>
      <protection locked="0"/>
    </xf>
    <xf numFmtId="4" fontId="5" fillId="4" borderId="10" xfId="0" applyNumberFormat="1" applyFont="1" applyFill="1" applyBorder="1" applyAlignment="1" applyProtection="1">
      <alignment horizontal="center" vertical="center" wrapText="1"/>
      <protection locked="0"/>
    </xf>
    <xf numFmtId="4" fontId="5" fillId="4" borderId="25" xfId="0" applyNumberFormat="1" applyFont="1" applyFill="1" applyBorder="1" applyAlignment="1" applyProtection="1">
      <alignment horizontal="center" vertical="center" wrapText="1"/>
      <protection locked="0"/>
    </xf>
    <xf numFmtId="1" fontId="5" fillId="4" borderId="7" xfId="0" applyNumberFormat="1" applyFont="1" applyFill="1" applyBorder="1" applyAlignment="1" applyProtection="1">
      <alignment horizontal="center" vertical="center" wrapText="1"/>
      <protection locked="0"/>
    </xf>
    <xf numFmtId="2" fontId="5" fillId="4" borderId="13" xfId="0" applyNumberFormat="1" applyFont="1" applyFill="1" applyBorder="1" applyAlignment="1" applyProtection="1">
      <alignment horizontal="center" vertical="center" wrapText="1"/>
      <protection locked="0"/>
    </xf>
    <xf numFmtId="0" fontId="5" fillId="4" borderId="10" xfId="0" applyFont="1" applyFill="1" applyBorder="1" applyAlignment="1" applyProtection="1">
      <alignment horizontal="center" wrapText="1"/>
      <protection locked="0"/>
    </xf>
    <xf numFmtId="2" fontId="11" fillId="0" borderId="36" xfId="0" applyNumberFormat="1" applyFont="1" applyBorder="1" applyAlignment="1">
      <alignment horizontal="center" vertical="center" wrapText="1"/>
    </xf>
    <xf numFmtId="0" fontId="3" fillId="11" borderId="10" xfId="0" applyFont="1" applyFill="1" applyBorder="1" applyAlignment="1">
      <alignment horizontal="right" vertical="center"/>
    </xf>
    <xf numFmtId="0" fontId="5" fillId="0" borderId="17" xfId="0" applyFont="1" applyBorder="1" applyAlignment="1">
      <alignment horizontal="center" vertical="center" wrapText="1"/>
    </xf>
    <xf numFmtId="0" fontId="6" fillId="0" borderId="10" xfId="0" applyFont="1" applyBorder="1" applyAlignment="1">
      <alignment horizontal="center" vertical="center" wrapText="1"/>
    </xf>
    <xf numFmtId="1" fontId="5" fillId="0" borderId="14" xfId="0" applyNumberFormat="1" applyFont="1" applyBorder="1" applyAlignment="1">
      <alignment horizontal="center" vertical="center"/>
    </xf>
    <xf numFmtId="2" fontId="5" fillId="0" borderId="14" xfId="0" applyNumberFormat="1" applyFont="1" applyBorder="1" applyAlignment="1">
      <alignment wrapText="1"/>
    </xf>
    <xf numFmtId="2" fontId="5" fillId="0" borderId="10" xfId="0" applyNumberFormat="1" applyFont="1" applyBorder="1" applyAlignment="1">
      <alignment wrapText="1"/>
    </xf>
    <xf numFmtId="0" fontId="3" fillId="5" borderId="10" xfId="0" applyFont="1" applyFill="1" applyBorder="1" applyAlignment="1">
      <alignment horizontal="left" vertical="center" wrapText="1"/>
    </xf>
    <xf numFmtId="0" fontId="3" fillId="5" borderId="10" xfId="0" applyFont="1" applyFill="1" applyBorder="1" applyAlignment="1">
      <alignment horizontal="center" vertical="center" wrapText="1"/>
    </xf>
    <xf numFmtId="0" fontId="3" fillId="5" borderId="10" xfId="0" applyFont="1" applyFill="1" applyBorder="1" applyAlignment="1">
      <alignment vertical="center" wrapText="1"/>
    </xf>
    <xf numFmtId="0" fontId="3" fillId="2" borderId="0" xfId="0" applyFont="1" applyFill="1" applyAlignment="1">
      <alignment horizontal="center" vertical="center" wrapText="1"/>
    </xf>
    <xf numFmtId="0" fontId="3" fillId="2" borderId="10" xfId="0" applyFont="1" applyFill="1" applyBorder="1" applyAlignment="1">
      <alignment vertical="center" wrapText="1"/>
    </xf>
    <xf numFmtId="0" fontId="5" fillId="2" borderId="10" xfId="0" applyFont="1" applyFill="1" applyBorder="1" applyAlignment="1">
      <alignment horizontal="left" vertical="center" wrapText="1"/>
    </xf>
    <xf numFmtId="0" fontId="5" fillId="2" borderId="0" xfId="0" applyFont="1" applyFill="1" applyAlignment="1">
      <alignment wrapText="1"/>
    </xf>
    <xf numFmtId="0" fontId="11" fillId="2" borderId="10" xfId="0" applyFont="1" applyFill="1" applyBorder="1" applyAlignment="1">
      <alignment horizontal="left" vertical="center" wrapText="1"/>
    </xf>
    <xf numFmtId="0" fontId="3" fillId="2" borderId="6" xfId="0" applyFont="1" applyFill="1" applyBorder="1" applyAlignment="1">
      <alignment vertical="center" wrapText="1"/>
    </xf>
    <xf numFmtId="0" fontId="5" fillId="2" borderId="6" xfId="0" applyFont="1" applyFill="1" applyBorder="1" applyAlignment="1">
      <alignment horizontal="left" wrapText="1"/>
    </xf>
    <xf numFmtId="0" fontId="5" fillId="2" borderId="6" xfId="0" applyFont="1" applyFill="1" applyBorder="1" applyAlignment="1">
      <alignment wrapText="1"/>
    </xf>
    <xf numFmtId="0" fontId="3" fillId="2" borderId="0" xfId="0" applyFont="1" applyFill="1" applyAlignment="1">
      <alignment vertical="center" wrapText="1"/>
    </xf>
    <xf numFmtId="0" fontId="5" fillId="2" borderId="0" xfId="0" applyFont="1" applyFill="1" applyAlignment="1">
      <alignment horizontal="left" wrapText="1"/>
    </xf>
    <xf numFmtId="0" fontId="5" fillId="0" borderId="7" xfId="0" applyFont="1" applyBorder="1" applyAlignment="1">
      <alignment wrapText="1"/>
    </xf>
    <xf numFmtId="0" fontId="5" fillId="0" borderId="10" xfId="0" applyFont="1" applyBorder="1" applyAlignment="1">
      <alignment horizontal="right" wrapText="1"/>
    </xf>
    <xf numFmtId="0" fontId="5" fillId="0" borderId="3" xfId="0" applyFont="1" applyBorder="1" applyAlignment="1">
      <alignment wrapText="1"/>
    </xf>
    <xf numFmtId="0" fontId="5" fillId="0" borderId="13" xfId="0" applyFont="1" applyBorder="1" applyAlignment="1">
      <alignment horizontal="right" vertical="center" wrapText="1"/>
    </xf>
    <xf numFmtId="3" fontId="5" fillId="0" borderId="4" xfId="0" applyNumberFormat="1" applyFont="1" applyBorder="1" applyAlignment="1">
      <alignment horizontal="center" vertical="center" wrapText="1"/>
    </xf>
    <xf numFmtId="0" fontId="3" fillId="8" borderId="10" xfId="0" applyFont="1" applyFill="1" applyBorder="1" applyAlignment="1">
      <alignment horizontal="center" vertical="center"/>
    </xf>
    <xf numFmtId="4" fontId="3" fillId="8" borderId="4" xfId="0" applyNumberFormat="1" applyFont="1" applyFill="1" applyBorder="1" applyAlignment="1">
      <alignment horizontal="center" wrapText="1"/>
    </xf>
    <xf numFmtId="0" fontId="3" fillId="8" borderId="10" xfId="0" applyFont="1" applyFill="1" applyBorder="1" applyAlignment="1">
      <alignment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165" fontId="3" fillId="0" borderId="13"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4" fontId="5" fillId="7" borderId="13" xfId="0" applyNumberFormat="1" applyFont="1" applyFill="1" applyBorder="1" applyAlignment="1">
      <alignment horizontal="center" vertical="center" wrapText="1"/>
    </xf>
    <xf numFmtId="4" fontId="5" fillId="9" borderId="10" xfId="0" applyNumberFormat="1" applyFont="1" applyFill="1" applyBorder="1" applyAlignment="1">
      <alignment horizontal="center" vertical="center" wrapText="1"/>
    </xf>
    <xf numFmtId="4" fontId="5" fillId="0" borderId="4" xfId="0" applyNumberFormat="1" applyFont="1" applyBorder="1" applyAlignment="1">
      <alignment horizontal="center" vertical="center" wrapText="1"/>
    </xf>
    <xf numFmtId="164" fontId="5" fillId="0" borderId="0" xfId="0" applyNumberFormat="1" applyFont="1" applyAlignment="1">
      <alignment horizontal="center" wrapText="1"/>
    </xf>
    <xf numFmtId="0" fontId="5" fillId="0" borderId="25" xfId="0" applyFont="1" applyBorder="1" applyAlignment="1">
      <alignment horizontal="center" vertical="center" wrapText="1"/>
    </xf>
    <xf numFmtId="0" fontId="5" fillId="0" borderId="16" xfId="0" applyFont="1" applyBorder="1" applyAlignment="1">
      <alignment horizontal="center" vertical="center" wrapText="1"/>
    </xf>
    <xf numFmtId="4" fontId="5" fillId="0" borderId="16" xfId="0" applyNumberFormat="1" applyFont="1" applyBorder="1" applyAlignment="1">
      <alignment horizontal="center" vertical="center" wrapText="1"/>
    </xf>
    <xf numFmtId="4" fontId="5" fillId="0" borderId="19" xfId="0" applyNumberFormat="1" applyFont="1" applyBorder="1" applyAlignment="1">
      <alignment horizontal="center" vertical="center" wrapText="1"/>
    </xf>
    <xf numFmtId="3" fontId="5" fillId="0" borderId="16" xfId="0" applyNumberFormat="1" applyFont="1" applyBorder="1" applyAlignment="1">
      <alignment horizontal="center" vertical="center" wrapText="1"/>
    </xf>
    <xf numFmtId="1" fontId="5" fillId="0" borderId="0" xfId="0" applyNumberFormat="1" applyFont="1" applyAlignment="1">
      <alignment horizontal="center" wrapText="1"/>
    </xf>
    <xf numFmtId="4" fontId="5" fillId="0" borderId="25" xfId="0" applyNumberFormat="1" applyFont="1" applyBorder="1" applyAlignment="1">
      <alignment horizontal="center" vertical="center" wrapText="1"/>
    </xf>
    <xf numFmtId="4" fontId="5" fillId="0" borderId="24" xfId="0" applyNumberFormat="1" applyFont="1" applyBorder="1" applyAlignment="1">
      <alignment horizontal="center" vertical="center" wrapText="1"/>
    </xf>
    <xf numFmtId="3" fontId="5" fillId="0" borderId="25" xfId="0" applyNumberFormat="1" applyFont="1" applyBorder="1" applyAlignment="1">
      <alignment horizontal="center" vertical="center" wrapText="1"/>
    </xf>
    <xf numFmtId="3" fontId="5" fillId="7" borderId="52" xfId="0" applyNumberFormat="1" applyFont="1" applyFill="1" applyBorder="1" applyAlignment="1">
      <alignment horizontal="center" vertical="center" wrapText="1"/>
    </xf>
    <xf numFmtId="3" fontId="5" fillId="7" borderId="0" xfId="0" applyNumberFormat="1" applyFont="1" applyFill="1" applyAlignment="1">
      <alignment horizontal="center" vertical="center" wrapText="1"/>
    </xf>
    <xf numFmtId="3" fontId="5" fillId="7" borderId="53" xfId="0" applyNumberFormat="1" applyFont="1" applyFill="1" applyBorder="1" applyAlignment="1">
      <alignment horizontal="center" vertical="center" wrapText="1"/>
    </xf>
    <xf numFmtId="3" fontId="5" fillId="2" borderId="8" xfId="0" applyNumberFormat="1" applyFont="1" applyFill="1" applyBorder="1" applyAlignment="1">
      <alignment horizontal="center" vertical="center" wrapText="1"/>
    </xf>
    <xf numFmtId="3" fontId="5" fillId="9" borderId="21" xfId="0" applyNumberFormat="1" applyFont="1" applyFill="1" applyBorder="1" applyAlignment="1">
      <alignment horizontal="center" vertical="center" wrapText="1"/>
    </xf>
    <xf numFmtId="3" fontId="5" fillId="0" borderId="21" xfId="0" applyNumberFormat="1" applyFont="1" applyBorder="1" applyAlignment="1">
      <alignment horizontal="center" vertical="center" wrapText="1"/>
    </xf>
    <xf numFmtId="3" fontId="5" fillId="9" borderId="14" xfId="0" applyNumberFormat="1" applyFont="1" applyFill="1" applyBorder="1" applyAlignment="1">
      <alignment horizontal="center" vertical="center" wrapText="1"/>
    </xf>
    <xf numFmtId="0" fontId="5" fillId="0" borderId="54" xfId="0" applyFont="1" applyBorder="1" applyAlignment="1">
      <alignment horizontal="right" vertical="center" wrapText="1"/>
    </xf>
    <xf numFmtId="0" fontId="5" fillId="0" borderId="6" xfId="0" applyFont="1" applyBorder="1" applyAlignment="1">
      <alignment horizontal="right" vertical="center" wrapText="1"/>
    </xf>
    <xf numFmtId="4" fontId="5" fillId="0" borderId="13" xfId="0" applyNumberFormat="1" applyFont="1" applyBorder="1" applyAlignment="1">
      <alignment horizontal="center" vertical="center" wrapText="1"/>
    </xf>
    <xf numFmtId="3" fontId="5" fillId="9" borderId="15" xfId="0" applyNumberFormat="1" applyFont="1" applyFill="1" applyBorder="1" applyAlignment="1">
      <alignment horizontal="center" vertical="center" wrapText="1"/>
    </xf>
    <xf numFmtId="3" fontId="5" fillId="0" borderId="55" xfId="0" applyNumberFormat="1" applyFont="1" applyBorder="1" applyAlignment="1">
      <alignment horizontal="center" vertical="center" wrapText="1"/>
    </xf>
    <xf numFmtId="0" fontId="5" fillId="0" borderId="24" xfId="0" applyFont="1" applyBorder="1" applyAlignment="1">
      <alignment vertical="center" wrapText="1"/>
    </xf>
    <xf numFmtId="3" fontId="5" fillId="8" borderId="25" xfId="0" applyNumberFormat="1" applyFont="1" applyFill="1" applyBorder="1" applyAlignment="1">
      <alignment horizontal="center" vertical="center" wrapText="1"/>
    </xf>
    <xf numFmtId="3" fontId="5" fillId="8" borderId="26" xfId="0" applyNumberFormat="1" applyFont="1" applyFill="1" applyBorder="1" applyAlignment="1">
      <alignment horizontal="center" vertical="center" wrapText="1"/>
    </xf>
    <xf numFmtId="0" fontId="3" fillId="2" borderId="10" xfId="0" applyFont="1" applyFill="1" applyBorder="1" applyAlignment="1">
      <alignment horizontal="left" vertical="center" wrapText="1"/>
    </xf>
    <xf numFmtId="0" fontId="3" fillId="2"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0" xfId="0" applyFont="1" applyFill="1" applyAlignment="1">
      <alignment horizontal="left" vertical="center" wrapText="1"/>
    </xf>
    <xf numFmtId="9" fontId="5" fillId="0" borderId="10" xfId="0" applyNumberFormat="1" applyFont="1" applyBorder="1" applyAlignment="1">
      <alignment horizontal="center" vertical="center" wrapText="1"/>
    </xf>
    <xf numFmtId="2" fontId="5" fillId="0" borderId="2" xfId="0" applyNumberFormat="1" applyFont="1" applyBorder="1" applyAlignment="1">
      <alignment horizontal="center" vertical="center" wrapText="1"/>
    </xf>
    <xf numFmtId="167" fontId="3" fillId="8" borderId="2" xfId="0" applyNumberFormat="1" applyFont="1" applyFill="1" applyBorder="1" applyAlignment="1">
      <alignment horizontal="center" vertical="center" wrapText="1"/>
    </xf>
    <xf numFmtId="0" fontId="9" fillId="0" borderId="10" xfId="0" applyFont="1" applyBorder="1" applyAlignment="1">
      <alignment vertical="center" wrapText="1"/>
    </xf>
    <xf numFmtId="0" fontId="7" fillId="0" borderId="0" xfId="0" applyFont="1" applyAlignment="1">
      <alignment vertical="center"/>
    </xf>
    <xf numFmtId="0" fontId="4" fillId="0" borderId="10" xfId="0" applyFont="1" applyBorder="1" applyAlignment="1">
      <alignment horizontal="center" vertical="center" wrapText="1"/>
    </xf>
    <xf numFmtId="1" fontId="5" fillId="0" borderId="7" xfId="0" applyNumberFormat="1" applyFont="1" applyBorder="1" applyAlignment="1">
      <alignment horizontal="center" vertical="center" wrapText="1"/>
    </xf>
    <xf numFmtId="2" fontId="5" fillId="0" borderId="7" xfId="0" applyNumberFormat="1" applyFont="1" applyBorder="1" applyAlignment="1">
      <alignment horizontal="center" vertical="center" wrapText="1"/>
    </xf>
    <xf numFmtId="0" fontId="5" fillId="0" borderId="10" xfId="0" applyFont="1" applyBorder="1" applyAlignment="1">
      <alignment horizontal="left" wrapText="1"/>
    </xf>
    <xf numFmtId="2" fontId="5" fillId="0" borderId="3" xfId="1" applyNumberFormat="1" applyFont="1" applyFill="1" applyBorder="1" applyAlignment="1" applyProtection="1">
      <alignment horizontal="center" vertical="center" wrapText="1"/>
    </xf>
    <xf numFmtId="0" fontId="2" fillId="0" borderId="0" xfId="0" applyFont="1" applyAlignment="1">
      <alignment wrapText="1"/>
    </xf>
    <xf numFmtId="0" fontId="11" fillId="13" borderId="36" xfId="0" applyFont="1" applyFill="1" applyBorder="1" applyAlignment="1" applyProtection="1">
      <alignment horizontal="center" vertical="center" wrapText="1"/>
      <protection locked="0"/>
    </xf>
    <xf numFmtId="2" fontId="11" fillId="13" borderId="36" xfId="0" applyNumberFormat="1" applyFont="1" applyFill="1" applyBorder="1" applyAlignment="1" applyProtection="1">
      <alignment horizontal="center" vertical="center" wrapText="1"/>
      <protection locked="0"/>
    </xf>
    <xf numFmtId="0" fontId="5" fillId="3" borderId="10" xfId="0" applyFont="1" applyFill="1" applyBorder="1" applyAlignment="1">
      <alignment horizontal="left" vertical="center" wrapText="1"/>
    </xf>
    <xf numFmtId="3" fontId="5" fillId="2" borderId="10" xfId="0" applyNumberFormat="1" applyFont="1" applyFill="1" applyBorder="1" applyAlignment="1">
      <alignment horizontal="center" wrapText="1"/>
    </xf>
    <xf numFmtId="1" fontId="3" fillId="8" borderId="10" xfId="0" applyNumberFormat="1" applyFont="1" applyFill="1" applyBorder="1" applyAlignment="1">
      <alignment horizontal="center" vertical="center" wrapText="1"/>
    </xf>
    <xf numFmtId="3" fontId="5" fillId="0" borderId="10" xfId="0" applyNumberFormat="1" applyFont="1" applyBorder="1" applyAlignment="1">
      <alignment vertical="center" wrapText="1"/>
    </xf>
    <xf numFmtId="0" fontId="3" fillId="0" borderId="0" xfId="0" applyFont="1" applyAlignment="1">
      <alignment vertical="center" wrapText="1"/>
    </xf>
    <xf numFmtId="0" fontId="5" fillId="0" borderId="1" xfId="0" applyFont="1" applyBorder="1" applyAlignment="1">
      <alignment horizontal="center" vertical="center" wrapText="1"/>
    </xf>
    <xf numFmtId="3" fontId="3" fillId="8" borderId="13" xfId="0" applyNumberFormat="1" applyFont="1" applyFill="1" applyBorder="1" applyAlignment="1">
      <alignment horizontal="center" vertical="center" wrapText="1"/>
    </xf>
    <xf numFmtId="0" fontId="5" fillId="0" borderId="11" xfId="0" applyFont="1" applyBorder="1" applyAlignment="1">
      <alignment wrapText="1"/>
    </xf>
    <xf numFmtId="0" fontId="5" fillId="0" borderId="11" xfId="0" applyFont="1" applyBorder="1" applyAlignment="1">
      <alignment vertical="center" wrapText="1"/>
    </xf>
    <xf numFmtId="3" fontId="3" fillId="0" borderId="10" xfId="0" applyNumberFormat="1" applyFont="1" applyBorder="1" applyAlignment="1">
      <alignment horizontal="center" vertical="center" wrapText="1"/>
    </xf>
    <xf numFmtId="2" fontId="5" fillId="0" borderId="0" xfId="0" applyNumberFormat="1" applyFont="1" applyAlignment="1">
      <alignment vertical="center" wrapText="1"/>
    </xf>
    <xf numFmtId="2" fontId="5" fillId="0" borderId="0" xfId="0" applyNumberFormat="1" applyFont="1" applyAlignment="1">
      <alignment wrapText="1"/>
    </xf>
    <xf numFmtId="168" fontId="5" fillId="0" borderId="10" xfId="0" applyNumberFormat="1" applyFont="1" applyBorder="1" applyAlignment="1">
      <alignment horizontal="center" vertical="center" wrapText="1"/>
    </xf>
    <xf numFmtId="168" fontId="5" fillId="0" borderId="7" xfId="0" applyNumberFormat="1" applyFont="1" applyBorder="1" applyAlignment="1">
      <alignment horizontal="center" vertical="center" wrapText="1"/>
    </xf>
    <xf numFmtId="168" fontId="5" fillId="4" borderId="10" xfId="0" applyNumberFormat="1" applyFont="1" applyFill="1" applyBorder="1" applyAlignment="1" applyProtection="1">
      <alignment horizontal="center" vertical="center" wrapText="1"/>
      <protection locked="0"/>
    </xf>
    <xf numFmtId="0" fontId="0" fillId="0" borderId="11" xfId="0" applyBorder="1" applyAlignment="1">
      <alignment wrapText="1"/>
    </xf>
    <xf numFmtId="1"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10" xfId="0" applyFont="1" applyBorder="1" applyAlignment="1">
      <alignment horizontal="center" wrapText="1"/>
    </xf>
    <xf numFmtId="2" fontId="11" fillId="0" borderId="3" xfId="0" applyNumberFormat="1" applyFont="1" applyBorder="1" applyAlignment="1">
      <alignment horizontal="center" vertical="center" wrapText="1"/>
    </xf>
    <xf numFmtId="0" fontId="13" fillId="12" borderId="29" xfId="0" applyFont="1" applyFill="1" applyBorder="1" applyAlignment="1">
      <alignment horizontal="right" vertical="center" wrapText="1"/>
    </xf>
    <xf numFmtId="0" fontId="13" fillId="0" borderId="29" xfId="0" applyFont="1" applyBorder="1" applyAlignment="1">
      <alignment horizontal="center" vertical="center" wrapText="1"/>
    </xf>
    <xf numFmtId="0" fontId="11" fillId="0" borderId="0" xfId="0" applyFont="1" applyAlignment="1">
      <alignment wrapText="1"/>
    </xf>
    <xf numFmtId="0" fontId="13" fillId="12" borderId="30" xfId="0" applyFont="1" applyFill="1" applyBorder="1" applyAlignment="1">
      <alignment horizontal="center" vertical="center" wrapText="1"/>
    </xf>
    <xf numFmtId="0" fontId="13" fillId="12" borderId="31" xfId="0" applyFont="1" applyFill="1" applyBorder="1" applyAlignment="1">
      <alignment horizontal="center" vertical="center" wrapText="1"/>
    </xf>
    <xf numFmtId="0" fontId="13" fillId="12" borderId="32" xfId="0" applyFont="1" applyFill="1" applyBorder="1" applyAlignment="1">
      <alignment horizontal="center" vertical="center" wrapText="1"/>
    </xf>
    <xf numFmtId="2" fontId="11" fillId="0" borderId="29" xfId="0" applyNumberFormat="1" applyFont="1" applyBorder="1" applyAlignment="1">
      <alignment horizontal="center" vertical="center" wrapText="1"/>
    </xf>
    <xf numFmtId="1" fontId="11" fillId="0" borderId="29" xfId="0" applyNumberFormat="1" applyFont="1" applyBorder="1" applyAlignment="1">
      <alignment horizontal="center" vertical="center" wrapText="1"/>
    </xf>
    <xf numFmtId="3" fontId="11" fillId="0" borderId="29" xfId="0" applyNumberFormat="1" applyFont="1" applyBorder="1" applyAlignment="1">
      <alignment horizontal="center" vertical="center" wrapText="1"/>
    </xf>
    <xf numFmtId="4" fontId="11" fillId="0" borderId="29" xfId="0" applyNumberFormat="1" applyFont="1" applyBorder="1" applyAlignment="1">
      <alignment horizontal="center" vertical="center" wrapText="1"/>
    </xf>
    <xf numFmtId="0" fontId="11" fillId="0" borderId="29" xfId="0" applyFont="1" applyBorder="1" applyAlignment="1">
      <alignment horizontal="center" vertical="center" wrapText="1"/>
    </xf>
    <xf numFmtId="0" fontId="3" fillId="0" borderId="0" xfId="0" applyFont="1" applyAlignment="1">
      <alignment vertical="center"/>
    </xf>
    <xf numFmtId="2" fontId="5" fillId="0" borderId="4" xfId="0" applyNumberFormat="1" applyFont="1" applyBorder="1" applyAlignment="1">
      <alignment horizontal="center" vertical="center" wrapText="1"/>
    </xf>
    <xf numFmtId="2" fontId="11" fillId="0" borderId="31" xfId="0" applyNumberFormat="1" applyFont="1" applyBorder="1" applyAlignment="1">
      <alignment horizontal="center" vertical="center" wrapText="1"/>
    </xf>
    <xf numFmtId="3" fontId="13" fillId="14" borderId="46" xfId="0" applyNumberFormat="1" applyFont="1" applyFill="1" applyBorder="1" applyAlignment="1">
      <alignment horizontal="center" vertical="center" wrapText="1"/>
    </xf>
    <xf numFmtId="3" fontId="14" fillId="0" borderId="13" xfId="0" applyNumberFormat="1" applyFont="1" applyBorder="1" applyAlignment="1">
      <alignment horizontal="center" vertical="center" wrapText="1"/>
    </xf>
    <xf numFmtId="0" fontId="14" fillId="0" borderId="13" xfId="0" applyFont="1" applyBorder="1" applyAlignment="1">
      <alignment horizontal="left" vertical="center" wrapText="1"/>
    </xf>
    <xf numFmtId="0" fontId="11" fillId="13" borderId="29" xfId="0" applyFont="1" applyFill="1" applyBorder="1" applyAlignment="1" applyProtection="1">
      <alignment horizontal="center" vertical="center" wrapText="1"/>
      <protection locked="0"/>
    </xf>
    <xf numFmtId="2" fontId="11" fillId="13" borderId="31" xfId="0" applyNumberFormat="1" applyFont="1" applyFill="1" applyBorder="1" applyAlignment="1" applyProtection="1">
      <alignment horizontal="center" vertical="center" wrapText="1"/>
      <protection locked="0"/>
    </xf>
    <xf numFmtId="2" fontId="11" fillId="13" borderId="34" xfId="0" applyNumberFormat="1" applyFont="1" applyFill="1" applyBorder="1" applyAlignment="1" applyProtection="1">
      <alignment horizontal="center" vertical="center" wrapText="1"/>
      <protection locked="0"/>
    </xf>
    <xf numFmtId="3" fontId="13" fillId="0" borderId="10" xfId="0" applyNumberFormat="1" applyFont="1" applyBorder="1" applyAlignment="1">
      <alignment horizontal="center" vertical="center" wrapText="1"/>
    </xf>
    <xf numFmtId="0" fontId="13" fillId="0" borderId="10" xfId="0" applyFont="1" applyBorder="1" applyAlignment="1">
      <alignment horizontal="left" vertical="center" wrapText="1"/>
    </xf>
    <xf numFmtId="0" fontId="11" fillId="13" borderId="31" xfId="0" applyFont="1" applyFill="1" applyBorder="1" applyAlignment="1" applyProtection="1">
      <alignment horizontal="center" vertical="center" wrapText="1"/>
      <protection locked="0"/>
    </xf>
    <xf numFmtId="2" fontId="13" fillId="0" borderId="31" xfId="0" applyNumberFormat="1" applyFont="1" applyBorder="1" applyAlignment="1">
      <alignment horizontal="center" vertical="center" wrapText="1"/>
    </xf>
    <xf numFmtId="165" fontId="5" fillId="0" borderId="10" xfId="0" applyNumberFormat="1" applyFont="1" applyBorder="1" applyAlignment="1">
      <alignment horizontal="center" vertical="center" wrapText="1"/>
    </xf>
    <xf numFmtId="0" fontId="10" fillId="8" borderId="10" xfId="0" applyFont="1" applyFill="1" applyBorder="1" applyAlignment="1">
      <alignment horizontal="center" vertical="center" wrapText="1"/>
    </xf>
    <xf numFmtId="164" fontId="10" fillId="8" borderId="10" xfId="0" applyNumberFormat="1" applyFont="1" applyFill="1" applyBorder="1" applyAlignment="1">
      <alignment horizontal="center" vertical="center" wrapText="1"/>
    </xf>
    <xf numFmtId="0" fontId="10" fillId="0" borderId="10" xfId="0" applyFont="1" applyBorder="1" applyAlignment="1">
      <alignment horizontal="center" vertical="center" wrapText="1"/>
    </xf>
    <xf numFmtId="10" fontId="5" fillId="0" borderId="0" xfId="0" applyNumberFormat="1" applyFont="1" applyAlignment="1">
      <alignment wrapText="1"/>
    </xf>
    <xf numFmtId="1" fontId="5" fillId="4" borderId="10" xfId="1" applyNumberFormat="1" applyFont="1" applyFill="1" applyBorder="1" applyAlignment="1" applyProtection="1">
      <alignment horizontal="center" vertical="center" wrapText="1"/>
      <protection locked="0"/>
    </xf>
    <xf numFmtId="3" fontId="5" fillId="0" borderId="10" xfId="0" applyNumberFormat="1" applyFont="1" applyBorder="1" applyAlignment="1">
      <alignment horizontal="center" wrapText="1"/>
    </xf>
    <xf numFmtId="0" fontId="5" fillId="0" borderId="10" xfId="0" applyFont="1" applyBorder="1" applyAlignment="1">
      <alignment horizontal="left"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5" xfId="0" applyFont="1" applyBorder="1" applyAlignment="1">
      <alignment horizontal="center" vertical="center" textRotation="90" wrapText="1"/>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3" fillId="3" borderId="3" xfId="0" applyFont="1" applyFill="1" applyBorder="1" applyAlignment="1">
      <alignment horizontal="center" wrapText="1"/>
    </xf>
    <xf numFmtId="0" fontId="5" fillId="0" borderId="9" xfId="0" applyFont="1" applyBorder="1" applyAlignment="1">
      <alignment vertical="center" wrapText="1"/>
    </xf>
    <xf numFmtId="0" fontId="5" fillId="0" borderId="4" xfId="0" applyFont="1" applyBorder="1" applyAlignment="1">
      <alignment vertical="center" wrapText="1"/>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0" borderId="0" xfId="0" applyFont="1" applyAlignment="1">
      <alignment vertical="center" wrapText="1"/>
    </xf>
    <xf numFmtId="0" fontId="5" fillId="3" borderId="10" xfId="0" applyFont="1" applyFill="1" applyBorder="1" applyAlignment="1">
      <alignment horizontal="center" vertical="center" wrapText="1"/>
    </xf>
    <xf numFmtId="1" fontId="5" fillId="4" borderId="4" xfId="0" applyNumberFormat="1" applyFont="1" applyFill="1" applyBorder="1" applyAlignment="1" applyProtection="1">
      <alignment horizontal="center" vertical="center" wrapText="1"/>
      <protection locked="0"/>
    </xf>
    <xf numFmtId="1" fontId="5" fillId="4" borderId="10" xfId="0" applyNumberFormat="1"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1" fontId="5"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2" fontId="5" fillId="4" borderId="2" xfId="0" applyNumberFormat="1" applyFont="1" applyFill="1" applyBorder="1" applyAlignment="1" applyProtection="1">
      <alignment horizontal="center" vertical="center" wrapText="1"/>
      <protection locked="0"/>
    </xf>
    <xf numFmtId="2" fontId="5" fillId="4" borderId="4" xfId="0" applyNumberFormat="1" applyFont="1" applyFill="1" applyBorder="1" applyAlignment="1" applyProtection="1">
      <alignment horizontal="center" vertical="center" wrapText="1"/>
      <protection locked="0"/>
    </xf>
    <xf numFmtId="2" fontId="5" fillId="4" borderId="10" xfId="0" applyNumberFormat="1" applyFont="1" applyFill="1" applyBorder="1" applyAlignment="1" applyProtection="1">
      <alignment horizontal="center" vertical="center" wrapText="1"/>
      <protection locked="0"/>
    </xf>
    <xf numFmtId="3" fontId="5" fillId="0" borderId="10" xfId="0" applyNumberFormat="1" applyFont="1" applyBorder="1" applyAlignment="1">
      <alignment horizontal="center" vertical="center" wrapText="1"/>
    </xf>
    <xf numFmtId="0" fontId="5" fillId="4" borderId="10" xfId="0" applyFont="1" applyFill="1" applyBorder="1" applyAlignment="1" applyProtection="1">
      <alignment horizontal="center" vertical="center" wrapText="1"/>
      <protection locked="0"/>
    </xf>
    <xf numFmtId="0" fontId="7" fillId="0" borderId="10" xfId="0"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0" borderId="0" xfId="0" applyFont="1" applyAlignment="1">
      <alignment horizontal="center" wrapText="1"/>
    </xf>
    <xf numFmtId="0" fontId="5" fillId="3" borderId="4" xfId="0" applyFont="1" applyFill="1" applyBorder="1" applyAlignment="1">
      <alignment horizontal="center" vertical="center" wrapText="1"/>
    </xf>
    <xf numFmtId="0" fontId="5" fillId="0" borderId="13" xfId="0" applyFont="1" applyBorder="1" applyAlignment="1">
      <alignment vertical="center" wrapText="1"/>
    </xf>
    <xf numFmtId="0" fontId="7" fillId="0" borderId="10" xfId="0" applyFont="1" applyBorder="1" applyAlignment="1">
      <alignment vertical="center" wrapText="1"/>
    </xf>
    <xf numFmtId="0" fontId="3"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8" borderId="10" xfId="0" applyFont="1" applyFill="1" applyBorder="1" applyAlignment="1">
      <alignment horizontal="right" vertical="center" wrapText="1"/>
    </xf>
    <xf numFmtId="0" fontId="3" fillId="8" borderId="10" xfId="0" applyFont="1" applyFill="1" applyBorder="1" applyAlignment="1">
      <alignment horizontal="left" vertical="center" wrapText="1"/>
    </xf>
    <xf numFmtId="0" fontId="3" fillId="3" borderId="10"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18" xfId="0" applyFont="1" applyBorder="1" applyAlignment="1">
      <alignment vertical="center" wrapText="1"/>
    </xf>
    <xf numFmtId="165" fontId="8" fillId="8" borderId="2" xfId="0" applyNumberFormat="1" applyFont="1" applyFill="1" applyBorder="1" applyAlignment="1">
      <alignment horizontal="center" vertical="center" wrapText="1"/>
    </xf>
    <xf numFmtId="165" fontId="8" fillId="8" borderId="4" xfId="0" applyNumberFormat="1" applyFont="1" applyFill="1" applyBorder="1" applyAlignment="1">
      <alignment horizontal="center" vertical="center" wrapText="1"/>
    </xf>
    <xf numFmtId="165" fontId="10" fillId="8" borderId="2" xfId="0" applyNumberFormat="1" applyFont="1" applyFill="1" applyBorder="1" applyAlignment="1">
      <alignment horizontal="center" vertical="center" wrapText="1"/>
    </xf>
    <xf numFmtId="165" fontId="10" fillId="8" borderId="4" xfId="0" applyNumberFormat="1" applyFont="1" applyFill="1" applyBorder="1" applyAlignment="1">
      <alignment horizontal="center" vertical="center" wrapText="1"/>
    </xf>
    <xf numFmtId="0" fontId="3" fillId="3" borderId="10" xfId="0" applyFont="1" applyFill="1" applyBorder="1" applyAlignment="1">
      <alignment vertical="center" wrapText="1"/>
    </xf>
    <xf numFmtId="0" fontId="5" fillId="0" borderId="10"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5" fillId="0" borderId="15" xfId="0" applyFont="1" applyBorder="1" applyAlignment="1">
      <alignment horizontal="center" vertical="center" textRotation="90" wrapText="1"/>
    </xf>
    <xf numFmtId="0" fontId="5" fillId="0" borderId="14" xfId="0" applyFont="1" applyBorder="1" applyAlignment="1">
      <alignment horizontal="center" vertical="center" textRotation="90" wrapText="1"/>
    </xf>
    <xf numFmtId="0" fontId="3" fillId="3" borderId="10" xfId="0" applyFont="1" applyFill="1" applyBorder="1" applyAlignment="1">
      <alignment horizontal="center" wrapText="1"/>
    </xf>
    <xf numFmtId="0" fontId="5" fillId="0" borderId="5" xfId="0" applyFont="1" applyBorder="1" applyAlignment="1">
      <alignment horizontal="left" wrapText="1"/>
    </xf>
    <xf numFmtId="0" fontId="5" fillId="0" borderId="6" xfId="0" applyFont="1" applyBorder="1" applyAlignment="1">
      <alignment horizontal="left" wrapText="1"/>
    </xf>
    <xf numFmtId="0" fontId="5" fillId="0" borderId="8" xfId="0" applyFont="1" applyBorder="1" applyAlignment="1">
      <alignment horizontal="left" wrapText="1"/>
    </xf>
    <xf numFmtId="0" fontId="5" fillId="0" borderId="1" xfId="0" applyFont="1" applyBorder="1" applyAlignment="1">
      <alignment horizontal="left"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5" fillId="4" borderId="3" xfId="0" applyFont="1" applyFill="1" applyBorder="1" applyAlignment="1" applyProtection="1">
      <alignment horizontal="left"/>
      <protection locked="0"/>
    </xf>
    <xf numFmtId="0" fontId="5" fillId="4" borderId="4" xfId="0" applyFont="1" applyFill="1" applyBorder="1" applyAlignment="1" applyProtection="1">
      <alignment horizontal="left"/>
      <protection locked="0"/>
    </xf>
    <xf numFmtId="0" fontId="5" fillId="0" borderId="27" xfId="0" applyFont="1" applyBorder="1" applyAlignment="1">
      <alignment horizontal="right" vertical="center" wrapText="1"/>
    </xf>
    <xf numFmtId="0" fontId="5" fillId="0" borderId="1" xfId="0" applyFont="1" applyBorder="1" applyAlignment="1">
      <alignment horizontal="right" vertical="center" wrapText="1"/>
    </xf>
    <xf numFmtId="0" fontId="5" fillId="0" borderId="20" xfId="0" applyFont="1" applyBorder="1" applyAlignment="1">
      <alignment horizontal="right" vertical="center" wrapText="1"/>
    </xf>
    <xf numFmtId="0" fontId="5" fillId="0" borderId="3" xfId="0" applyFont="1" applyBorder="1" applyAlignment="1">
      <alignment horizontal="right" vertical="center" wrapText="1"/>
    </xf>
    <xf numFmtId="0" fontId="5" fillId="0" borderId="22" xfId="0" applyFont="1" applyBorder="1" applyAlignment="1">
      <alignment horizontal="right" vertical="center" wrapText="1"/>
    </xf>
    <xf numFmtId="0" fontId="5" fillId="0" borderId="23" xfId="0" applyFont="1" applyBorder="1" applyAlignment="1">
      <alignment horizontal="right" vertical="center" wrapText="1"/>
    </xf>
    <xf numFmtId="0" fontId="8" fillId="6" borderId="10" xfId="0" applyFont="1" applyFill="1" applyBorder="1" applyAlignment="1">
      <alignment horizontal="center" vertical="center" wrapText="1"/>
    </xf>
    <xf numFmtId="0" fontId="5" fillId="0" borderId="10" xfId="0" applyFont="1" applyBorder="1" applyAlignment="1">
      <alignment horizontal="center" vertical="center" wrapText="1"/>
    </xf>
    <xf numFmtId="0" fontId="3" fillId="0" borderId="51" xfId="0" applyFont="1" applyBorder="1" applyAlignment="1">
      <alignment horizontal="center" vertical="center" textRotation="90" wrapText="1"/>
    </xf>
    <xf numFmtId="0" fontId="3" fillId="0" borderId="15" xfId="0" applyFont="1" applyBorder="1" applyAlignment="1">
      <alignment horizontal="center" vertical="center" textRotation="90" wrapText="1"/>
    </xf>
    <xf numFmtId="0" fontId="3" fillId="0" borderId="28"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3" fontId="5" fillId="7" borderId="13" xfId="0" applyNumberFormat="1" applyFont="1" applyFill="1" applyBorder="1" applyAlignment="1">
      <alignment horizontal="center" vertical="center" wrapText="1"/>
    </xf>
    <xf numFmtId="3" fontId="5" fillId="7" borderId="15" xfId="0" applyNumberFormat="1" applyFont="1" applyFill="1" applyBorder="1" applyAlignment="1">
      <alignment horizontal="center" vertical="center" wrapText="1"/>
    </xf>
    <xf numFmtId="3" fontId="5" fillId="7" borderId="28" xfId="0" applyNumberFormat="1" applyFont="1" applyFill="1" applyBorder="1" applyAlignment="1">
      <alignment horizontal="center" vertical="center" wrapText="1"/>
    </xf>
    <xf numFmtId="0" fontId="5" fillId="0" borderId="10" xfId="0" applyFont="1" applyBorder="1" applyAlignment="1">
      <alignment horizontal="center" vertical="center" textRotation="90" wrapText="1"/>
    </xf>
    <xf numFmtId="0" fontId="5" fillId="0" borderId="13" xfId="0" applyFont="1" applyBorder="1" applyAlignment="1">
      <alignment horizontal="center" vertical="center" textRotation="90" wrapText="1"/>
    </xf>
    <xf numFmtId="0" fontId="3" fillId="3" borderId="10" xfId="0" applyFont="1" applyFill="1" applyBorder="1" applyAlignment="1">
      <alignment wrapText="1"/>
    </xf>
    <xf numFmtId="0" fontId="3" fillId="0" borderId="10" xfId="0" applyFont="1" applyBorder="1" applyAlignment="1">
      <alignment wrapText="1"/>
    </xf>
    <xf numFmtId="0" fontId="3" fillId="0" borderId="10" xfId="0" applyFont="1" applyBorder="1" applyAlignment="1">
      <alignment vertical="center" wrapText="1"/>
    </xf>
    <xf numFmtId="0" fontId="5" fillId="3" borderId="10" xfId="0" applyFont="1" applyFill="1" applyBorder="1" applyAlignment="1">
      <alignment horizontal="center" vertical="center" wrapText="1"/>
    </xf>
    <xf numFmtId="1" fontId="5" fillId="4" borderId="2" xfId="0" applyNumberFormat="1" applyFont="1" applyFill="1" applyBorder="1" applyAlignment="1" applyProtection="1">
      <alignment horizontal="center" vertical="center" wrapText="1"/>
      <protection locked="0"/>
    </xf>
    <xf numFmtId="1" fontId="5" fillId="4" borderId="4" xfId="0" applyNumberFormat="1" applyFont="1" applyFill="1" applyBorder="1" applyAlignment="1" applyProtection="1">
      <alignment horizontal="center" vertical="center" wrapText="1"/>
      <protection locked="0"/>
    </xf>
    <xf numFmtId="1" fontId="5" fillId="4" borderId="10" xfId="0" applyNumberFormat="1"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1" fontId="5" fillId="0" borderId="10" xfId="0" applyNumberFormat="1" applyFont="1" applyBorder="1" applyAlignment="1">
      <alignment horizontal="center" vertical="center" wrapText="1"/>
    </xf>
    <xf numFmtId="0" fontId="3" fillId="3" borderId="13" xfId="0" applyFont="1" applyFill="1" applyBorder="1" applyAlignment="1">
      <alignment horizontal="center" vertical="center" wrapText="1"/>
    </xf>
    <xf numFmtId="0" fontId="3" fillId="8" borderId="2" xfId="0" applyFont="1" applyFill="1" applyBorder="1" applyAlignment="1">
      <alignment horizontal="left" vertical="center" wrapText="1"/>
    </xf>
    <xf numFmtId="0" fontId="3" fillId="8" borderId="3" xfId="0" applyFont="1" applyFill="1" applyBorder="1" applyAlignment="1">
      <alignment horizontal="left" vertical="center" wrapText="1"/>
    </xf>
    <xf numFmtId="0" fontId="3" fillId="8" borderId="4" xfId="0" applyFont="1" applyFill="1" applyBorder="1" applyAlignment="1">
      <alignment horizontal="left" vertical="center" wrapText="1"/>
    </xf>
    <xf numFmtId="0" fontId="7" fillId="0" borderId="10" xfId="0" applyFont="1" applyBorder="1" applyAlignment="1">
      <alignment horizontal="center" vertical="center" wrapText="1"/>
    </xf>
    <xf numFmtId="2" fontId="5" fillId="4" borderId="2" xfId="0" applyNumberFormat="1" applyFont="1" applyFill="1" applyBorder="1" applyAlignment="1" applyProtection="1">
      <alignment horizontal="center" vertical="center" wrapText="1"/>
      <protection locked="0"/>
    </xf>
    <xf numFmtId="2" fontId="5" fillId="4" borderId="4" xfId="0" applyNumberFormat="1" applyFont="1" applyFill="1" applyBorder="1" applyAlignment="1" applyProtection="1">
      <alignment horizontal="center" vertical="center" wrapText="1"/>
      <protection locked="0"/>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7" fillId="0" borderId="9"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4" xfId="0" applyFont="1" applyBorder="1" applyAlignment="1">
      <alignment horizontal="left" wrapText="1"/>
    </xf>
    <xf numFmtId="1" fontId="5" fillId="4" borderId="13" xfId="0" applyNumberFormat="1" applyFont="1" applyFill="1" applyBorder="1" applyAlignment="1" applyProtection="1">
      <alignment horizontal="center" vertical="center" wrapText="1"/>
      <protection locked="0"/>
    </xf>
    <xf numFmtId="1" fontId="5" fillId="4" borderId="14" xfId="0" applyNumberFormat="1" applyFont="1" applyFill="1" applyBorder="1" applyAlignment="1" applyProtection="1">
      <alignment horizontal="center" vertical="center" wrapText="1"/>
      <protection locked="0"/>
    </xf>
    <xf numFmtId="2" fontId="5" fillId="4" borderId="10" xfId="0" applyNumberFormat="1" applyFont="1" applyFill="1" applyBorder="1" applyAlignment="1" applyProtection="1">
      <alignment horizontal="center" vertical="center" wrapText="1"/>
      <protection locked="0"/>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3" fontId="5" fillId="0" borderId="10" xfId="0" applyNumberFormat="1" applyFont="1" applyBorder="1" applyAlignment="1">
      <alignment horizontal="center" vertical="center" wrapText="1"/>
    </xf>
    <xf numFmtId="0" fontId="3" fillId="8" borderId="10" xfId="0" applyFont="1" applyFill="1" applyBorder="1" applyAlignment="1">
      <alignment vertical="center" wrapText="1"/>
    </xf>
    <xf numFmtId="0" fontId="5" fillId="4" borderId="10" xfId="0" applyFont="1" applyFill="1" applyBorder="1" applyAlignment="1" applyProtection="1">
      <alignment horizontal="center" vertical="center" wrapText="1"/>
      <protection locked="0"/>
    </xf>
    <xf numFmtId="0" fontId="8" fillId="3" borderId="10" xfId="0" applyFont="1" applyFill="1" applyBorder="1" applyAlignment="1">
      <alignment horizontal="center" wrapText="1"/>
    </xf>
    <xf numFmtId="0" fontId="8" fillId="3" borderId="14" xfId="0" applyFont="1" applyFill="1" applyBorder="1" applyAlignment="1">
      <alignment horizontal="center" wrapText="1"/>
    </xf>
    <xf numFmtId="0" fontId="9" fillId="8" borderId="2" xfId="0" applyFont="1" applyFill="1" applyBorder="1" applyAlignment="1">
      <alignment horizontal="left" vertical="center" wrapText="1"/>
    </xf>
    <xf numFmtId="0" fontId="9" fillId="8" borderId="3" xfId="0" applyFont="1" applyFill="1" applyBorder="1" applyAlignment="1">
      <alignment horizontal="left" vertical="center" wrapText="1"/>
    </xf>
    <xf numFmtId="0" fontId="9" fillId="8" borderId="4" xfId="0" applyFont="1" applyFill="1" applyBorder="1" applyAlignment="1">
      <alignment horizontal="left" vertical="center" wrapText="1"/>
    </xf>
    <xf numFmtId="0" fontId="5" fillId="0" borderId="10" xfId="0" applyFont="1" applyBorder="1" applyAlignment="1">
      <alignment horizontal="right" vertical="center" wrapText="1"/>
    </xf>
    <xf numFmtId="0" fontId="5" fillId="0" borderId="2" xfId="0" applyFont="1" applyBorder="1" applyAlignment="1">
      <alignment horizontal="right" vertical="center" wrapText="1"/>
    </xf>
    <xf numFmtId="0" fontId="7" fillId="0" borderId="10" xfId="0" applyFont="1" applyBorder="1" applyAlignment="1">
      <alignment horizontal="left" vertical="center" wrapText="1"/>
    </xf>
    <xf numFmtId="0" fontId="7" fillId="0" borderId="10" xfId="0" applyFont="1" applyBorder="1" applyAlignment="1">
      <alignment horizontal="left" wrapText="1"/>
    </xf>
    <xf numFmtId="0" fontId="13" fillId="12" borderId="2" xfId="0" applyFont="1" applyFill="1" applyBorder="1" applyAlignment="1">
      <alignment horizontal="center" wrapText="1"/>
    </xf>
    <xf numFmtId="0" fontId="13" fillId="12" borderId="3" xfId="0" applyFont="1" applyFill="1" applyBorder="1" applyAlignment="1">
      <alignment horizontal="center" wrapText="1"/>
    </xf>
    <xf numFmtId="0" fontId="13" fillId="12" borderId="4" xfId="0" applyFont="1" applyFill="1" applyBorder="1" applyAlignment="1">
      <alignment horizontal="center" wrapText="1"/>
    </xf>
    <xf numFmtId="0" fontId="11" fillId="12" borderId="40" xfId="0" applyFont="1" applyFill="1" applyBorder="1" applyAlignment="1">
      <alignment horizontal="center" wrapText="1"/>
    </xf>
    <xf numFmtId="0" fontId="11" fillId="12" borderId="38" xfId="0" applyFont="1" applyFill="1" applyBorder="1" applyAlignment="1">
      <alignment horizontal="center" wrapText="1"/>
    </xf>
    <xf numFmtId="0" fontId="11" fillId="12" borderId="41" xfId="0" applyFont="1" applyFill="1" applyBorder="1" applyAlignment="1">
      <alignment horizontal="center" wrapText="1"/>
    </xf>
    <xf numFmtId="0" fontId="11" fillId="0" borderId="49" xfId="0" applyFont="1" applyBorder="1" applyAlignment="1">
      <alignment horizontal="right" vertical="center" wrapText="1"/>
    </xf>
    <xf numFmtId="0" fontId="11" fillId="0" borderId="6" xfId="0" applyFont="1" applyBorder="1" applyAlignment="1">
      <alignment horizontal="righ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13" fillId="12" borderId="30" xfId="0" applyFont="1" applyFill="1" applyBorder="1" applyAlignment="1">
      <alignment horizontal="center" wrapText="1"/>
    </xf>
    <xf numFmtId="0" fontId="10" fillId="0" borderId="31" xfId="0" applyFont="1" applyBorder="1"/>
    <xf numFmtId="0" fontId="10" fillId="0" borderId="32" xfId="0" applyFont="1" applyBorder="1"/>
    <xf numFmtId="0" fontId="5" fillId="0" borderId="4" xfId="0" applyFont="1" applyBorder="1" applyAlignment="1">
      <alignment horizontal="right" vertical="center" wrapText="1"/>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xf numFmtId="1" fontId="5" fillId="0" borderId="2"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0" xfId="0" applyFont="1" applyAlignment="1">
      <alignment horizontal="center" wrapText="1"/>
    </xf>
    <xf numFmtId="0" fontId="6" fillId="0" borderId="2" xfId="0" applyFont="1" applyBorder="1" applyAlignment="1">
      <alignment wrapText="1"/>
    </xf>
    <xf numFmtId="0" fontId="6" fillId="0" borderId="3" xfId="0" applyFont="1" applyBorder="1" applyAlignment="1">
      <alignment wrapText="1"/>
    </xf>
    <xf numFmtId="0" fontId="6" fillId="0" borderId="4" xfId="0" applyFont="1" applyBorder="1" applyAlignment="1">
      <alignment wrapText="1"/>
    </xf>
    <xf numFmtId="3" fontId="7" fillId="0" borderId="2" xfId="0" applyNumberFormat="1" applyFont="1" applyBorder="1" applyAlignment="1">
      <alignment horizontal="left" vertical="center" wrapText="1"/>
    </xf>
    <xf numFmtId="3" fontId="7" fillId="0" borderId="3" xfId="0" applyNumberFormat="1" applyFont="1" applyBorder="1" applyAlignment="1">
      <alignment horizontal="left" vertical="center" wrapText="1"/>
    </xf>
    <xf numFmtId="3" fontId="7" fillId="0" borderId="4" xfId="0" applyNumberFormat="1" applyFont="1" applyBorder="1" applyAlignment="1">
      <alignment horizontal="left" vertical="center" wrapText="1"/>
    </xf>
    <xf numFmtId="3" fontId="3" fillId="3" borderId="10" xfId="0" applyNumberFormat="1" applyFont="1" applyFill="1" applyBorder="1" applyAlignment="1">
      <alignment horizontal="center" vertical="center" wrapText="1"/>
    </xf>
    <xf numFmtId="0" fontId="3" fillId="8" borderId="13" xfId="0" applyFont="1" applyFill="1" applyBorder="1" applyAlignment="1">
      <alignment vertical="center" wrapText="1"/>
    </xf>
    <xf numFmtId="0" fontId="5" fillId="0" borderId="13" xfId="0" applyFont="1" applyBorder="1" applyAlignment="1">
      <alignment vertical="center" wrapText="1"/>
    </xf>
    <xf numFmtId="0" fontId="3" fillId="8" borderId="5" xfId="0" applyFont="1" applyFill="1" applyBorder="1" applyAlignment="1">
      <alignment horizontal="left" vertical="center" wrapText="1"/>
    </xf>
    <xf numFmtId="0" fontId="3" fillId="8" borderId="6" xfId="0" applyFont="1" applyFill="1" applyBorder="1" applyAlignment="1">
      <alignment horizontal="left" vertical="center" wrapText="1"/>
    </xf>
    <xf numFmtId="0" fontId="3" fillId="8" borderId="7" xfId="0" applyFont="1" applyFill="1" applyBorder="1" applyAlignment="1">
      <alignment horizontal="left" vertical="center" wrapText="1"/>
    </xf>
    <xf numFmtId="0" fontId="5" fillId="0" borderId="11" xfId="0" applyFont="1" applyBorder="1" applyAlignment="1">
      <alignment horizontal="center" wrapText="1"/>
    </xf>
    <xf numFmtId="0" fontId="16" fillId="0" borderId="0" xfId="0" applyFont="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10" xfId="0" applyFont="1" applyBorder="1" applyAlignment="1">
      <alignment vertical="center" wrapText="1"/>
    </xf>
    <xf numFmtId="3" fontId="3" fillId="3" borderId="2" xfId="0" applyNumberFormat="1" applyFont="1" applyFill="1" applyBorder="1" applyAlignment="1">
      <alignment horizontal="center" vertical="center" wrapText="1"/>
    </xf>
    <xf numFmtId="0" fontId="7" fillId="0" borderId="4" xfId="0" applyFont="1" applyBorder="1" applyAlignment="1">
      <alignmen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6" fillId="0" borderId="11" xfId="0" applyFont="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0" xfId="0" applyFont="1" applyFill="1" applyAlignment="1">
      <alignment horizontal="center" vertical="center" wrapText="1"/>
    </xf>
    <xf numFmtId="0" fontId="3" fillId="0" borderId="11" xfId="0" applyFont="1" applyBorder="1" applyAlignment="1">
      <alignment horizontal="center" vertical="center"/>
    </xf>
    <xf numFmtId="0" fontId="3" fillId="0" borderId="0" xfId="0" applyFont="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1" fillId="0" borderId="13" xfId="0" applyFont="1" applyBorder="1" applyAlignment="1">
      <alignment horizontal="left" vertical="center" wrapText="1"/>
    </xf>
    <xf numFmtId="0" fontId="10" fillId="0" borderId="13" xfId="0" applyFont="1" applyBorder="1"/>
    <xf numFmtId="0" fontId="11" fillId="0" borderId="13" xfId="0" applyFont="1" applyBorder="1" applyAlignment="1">
      <alignment horizontal="left" wrapText="1"/>
    </xf>
    <xf numFmtId="0" fontId="10" fillId="0" borderId="13" xfId="0" applyFont="1" applyBorder="1" applyAlignment="1">
      <alignment horizontal="left"/>
    </xf>
    <xf numFmtId="0" fontId="13" fillId="12" borderId="42" xfId="0" applyFont="1" applyFill="1" applyBorder="1" applyAlignment="1">
      <alignment horizontal="center" wrapText="1"/>
    </xf>
    <xf numFmtId="0" fontId="10" fillId="0" borderId="43" xfId="0" applyFont="1" applyBorder="1"/>
    <xf numFmtId="0" fontId="10" fillId="0" borderId="44" xfId="0" applyFont="1" applyBorder="1"/>
    <xf numFmtId="0" fontId="13" fillId="14" borderId="37" xfId="0" applyFont="1" applyFill="1" applyBorder="1" applyAlignment="1">
      <alignment horizontal="left" vertical="center" wrapText="1"/>
    </xf>
    <xf numFmtId="0" fontId="8" fillId="0" borderId="38" xfId="0" applyFont="1" applyBorder="1"/>
    <xf numFmtId="0" fontId="8" fillId="0" borderId="45" xfId="0" applyFont="1" applyBorder="1"/>
    <xf numFmtId="0" fontId="14" fillId="14" borderId="47" xfId="0" applyFont="1" applyFill="1" applyBorder="1" applyAlignment="1">
      <alignment horizontal="left" vertical="center" wrapText="1"/>
    </xf>
    <xf numFmtId="0" fontId="14" fillId="14" borderId="34" xfId="0" applyFont="1" applyFill="1" applyBorder="1" applyAlignment="1">
      <alignment horizontal="left" vertical="center" wrapText="1"/>
    </xf>
    <xf numFmtId="0" fontId="14" fillId="14" borderId="48" xfId="0" applyFont="1" applyFill="1" applyBorder="1" applyAlignment="1">
      <alignment horizontal="left" vertical="center" wrapText="1"/>
    </xf>
    <xf numFmtId="0" fontId="13" fillId="12" borderId="37" xfId="0" applyFont="1" applyFill="1" applyBorder="1" applyAlignment="1">
      <alignment horizontal="center" wrapText="1"/>
    </xf>
    <xf numFmtId="0" fontId="10" fillId="0" borderId="38" xfId="0" applyFont="1" applyBorder="1"/>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xf numFmtId="0" fontId="3" fillId="0" borderId="50" xfId="0" applyFont="1" applyBorder="1" applyAlignment="1">
      <alignment horizontal="center" vertical="center" wrapText="1"/>
    </xf>
    <xf numFmtId="0" fontId="3" fillId="0" borderId="50" xfId="0" applyFont="1" applyBorder="1" applyAlignment="1">
      <alignment horizontal="center" vertical="center"/>
    </xf>
    <xf numFmtId="0" fontId="11" fillId="0" borderId="10" xfId="0" applyFont="1" applyBorder="1" applyAlignment="1">
      <alignment horizontal="left" wrapText="1"/>
    </xf>
    <xf numFmtId="0" fontId="10" fillId="0" borderId="10" xfId="0" applyFont="1" applyBorder="1" applyAlignment="1">
      <alignment horizontal="left"/>
    </xf>
    <xf numFmtId="0" fontId="11" fillId="13" borderId="56" xfId="0" applyFont="1" applyFill="1" applyBorder="1" applyAlignment="1" applyProtection="1">
      <alignment horizontal="center" vertical="center" wrapText="1"/>
      <protection locked="0"/>
    </xf>
    <xf numFmtId="0" fontId="11" fillId="13" borderId="43" xfId="0" applyFont="1" applyFill="1" applyBorder="1" applyAlignment="1" applyProtection="1">
      <alignment horizontal="center" vertical="center" wrapText="1"/>
      <protection locked="0"/>
    </xf>
    <xf numFmtId="0" fontId="11" fillId="13" borderId="57" xfId="0" applyFont="1" applyFill="1" applyBorder="1" applyAlignment="1" applyProtection="1">
      <alignment horizontal="center" vertical="center" wrapText="1"/>
      <protection locked="0"/>
    </xf>
    <xf numFmtId="0" fontId="3"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colors>
    <mruColors>
      <color rgb="FFC5D9F1"/>
      <color rgb="FFCCECFF"/>
      <color rgb="FFFFFFCC"/>
      <color rgb="FFB6FD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2:P48"/>
  <sheetViews>
    <sheetView showWhiteSpace="0" view="pageLayout" workbookViewId="0">
      <selection activeCell="F5" sqref="F5"/>
    </sheetView>
  </sheetViews>
  <sheetFormatPr defaultColWidth="9.1796875" defaultRowHeight="12.5" x14ac:dyDescent="0.25"/>
  <cols>
    <col min="1" max="1" width="7.26953125" style="4" customWidth="1"/>
    <col min="2" max="2" width="33.54296875" style="4" customWidth="1"/>
    <col min="3" max="3" width="6.26953125" style="4" customWidth="1"/>
    <col min="4" max="4" width="9" style="4" customWidth="1"/>
    <col min="5" max="5" width="12" style="10" customWidth="1"/>
    <col min="6" max="6" width="9.54296875" style="11" customWidth="1"/>
    <col min="7" max="7" width="8.54296875" style="4" customWidth="1"/>
    <col min="8" max="8" width="9.54296875" style="4" bestFit="1" customWidth="1"/>
    <col min="9" max="9" width="9.1796875" style="4"/>
    <col min="10" max="10" width="8.1796875" style="4" customWidth="1"/>
    <col min="11" max="16" width="9.1796875" style="4" hidden="1" customWidth="1"/>
    <col min="17" max="16384" width="9.1796875" style="4"/>
  </cols>
  <sheetData>
    <row r="2" spans="1:8" s="12" customFormat="1" ht="21.65" customHeight="1" x14ac:dyDescent="0.35">
      <c r="A2" s="203" t="s">
        <v>0</v>
      </c>
      <c r="B2" s="264" t="s">
        <v>709</v>
      </c>
      <c r="C2" s="264"/>
      <c r="D2" s="264"/>
      <c r="E2" s="264"/>
      <c r="F2" s="260" t="s">
        <v>1</v>
      </c>
      <c r="G2" s="261"/>
    </row>
    <row r="3" spans="1:8" ht="15" customHeight="1" x14ac:dyDescent="0.25">
      <c r="A3" s="194"/>
      <c r="B3" s="258"/>
      <c r="C3" s="258"/>
      <c r="D3" s="258"/>
      <c r="E3" s="258"/>
      <c r="F3" s="185" t="s">
        <v>2</v>
      </c>
      <c r="G3" s="198" t="s">
        <v>3</v>
      </c>
    </row>
    <row r="4" spans="1:8" ht="20.9" customHeight="1" x14ac:dyDescent="0.25">
      <c r="A4" s="186">
        <v>49</v>
      </c>
      <c r="B4" s="265" t="s">
        <v>4</v>
      </c>
      <c r="C4" s="265"/>
      <c r="D4" s="265"/>
      <c r="E4" s="231"/>
      <c r="F4" s="220" t="str">
        <f>'STEP 2-WQv Calculation'!F38</f>
        <v/>
      </c>
      <c r="G4" s="187" t="str">
        <f>IF(F4="","",ROUND(F4/43560,3))</f>
        <v/>
      </c>
    </row>
    <row r="5" spans="1:8" ht="20.9" customHeight="1" x14ac:dyDescent="0.25">
      <c r="A5" s="186">
        <v>49</v>
      </c>
      <c r="B5" s="265" t="s">
        <v>5</v>
      </c>
      <c r="C5" s="265"/>
      <c r="D5" s="265"/>
      <c r="E5" s="231"/>
      <c r="F5" s="220">
        <f>'Step 3+5-Summary Table'!F42</f>
        <v>0</v>
      </c>
      <c r="G5" s="187">
        <f>ROUND(F5/43560,3)</f>
        <v>0</v>
      </c>
    </row>
    <row r="6" spans="1:8" ht="20.9" customHeight="1" x14ac:dyDescent="0.25">
      <c r="A6" s="186">
        <v>49</v>
      </c>
      <c r="B6" s="245" t="s">
        <v>6</v>
      </c>
      <c r="C6" s="245"/>
      <c r="D6" s="245"/>
      <c r="E6" s="245"/>
      <c r="F6" s="262" t="str">
        <f>IF(F5&gt;=F4,"Yes","No")</f>
        <v>No</v>
      </c>
      <c r="G6" s="263"/>
    </row>
    <row r="7" spans="1:8" ht="20.9" customHeight="1" x14ac:dyDescent="0.25">
      <c r="A7" s="186">
        <v>49</v>
      </c>
      <c r="B7" s="245" t="s">
        <v>7</v>
      </c>
      <c r="C7" s="245"/>
      <c r="D7" s="245"/>
      <c r="E7" s="245"/>
      <c r="F7" s="220" t="str">
        <f>'STEP 4-Min RRv'!B15</f>
        <v/>
      </c>
      <c r="G7" s="187" t="str">
        <f>IF(F7="","",F7/43560)</f>
        <v/>
      </c>
    </row>
    <row r="8" spans="1:8" ht="20.9" customHeight="1" x14ac:dyDescent="0.25">
      <c r="A8" s="186">
        <v>49</v>
      </c>
      <c r="B8" s="265" t="s">
        <v>8</v>
      </c>
      <c r="C8" s="265"/>
      <c r="D8" s="265"/>
      <c r="E8" s="265"/>
      <c r="F8" s="262" t="str">
        <f>IF(F5&gt;F7,"Yes","No")</f>
        <v>No</v>
      </c>
      <c r="G8" s="263"/>
    </row>
    <row r="9" spans="1:8" ht="20.9" customHeight="1" x14ac:dyDescent="0.25">
      <c r="A9" s="188"/>
      <c r="B9" s="266" t="str">
        <f>IF(F8="No", "Contact Regional DEC Office"," ")</f>
        <v>Contact Regional DEC Office</v>
      </c>
      <c r="C9" s="267"/>
      <c r="D9" s="267"/>
      <c r="E9" s="267"/>
      <c r="F9" s="267"/>
      <c r="G9" s="268"/>
    </row>
    <row r="10" spans="1:8" ht="21.65" customHeight="1" x14ac:dyDescent="0.25">
      <c r="A10" s="186">
        <v>49</v>
      </c>
      <c r="B10" s="265" t="s">
        <v>9</v>
      </c>
      <c r="C10" s="265"/>
      <c r="D10" s="265"/>
      <c r="E10" s="231"/>
      <c r="F10" s="220">
        <f>'Step 3+5-Summary Table'!G42</f>
        <v>0</v>
      </c>
      <c r="G10" s="187">
        <f>F10/43560</f>
        <v>0</v>
      </c>
    </row>
    <row r="11" spans="1:8" ht="21.65" customHeight="1" x14ac:dyDescent="0.25">
      <c r="A11" s="186">
        <v>49</v>
      </c>
      <c r="B11" s="265" t="s">
        <v>10</v>
      </c>
      <c r="C11" s="265"/>
      <c r="D11" s="265"/>
      <c r="E11" s="231"/>
      <c r="F11" s="220">
        <f>F5+F10</f>
        <v>0</v>
      </c>
      <c r="G11" s="187">
        <f>F11/43560</f>
        <v>0</v>
      </c>
      <c r="H11" s="189" t="str">
        <f>IF(F11=0,"",F5/F11)</f>
        <v/>
      </c>
    </row>
    <row r="12" spans="1:8" ht="21.65" customHeight="1" x14ac:dyDescent="0.25">
      <c r="A12" s="186">
        <v>49</v>
      </c>
      <c r="B12" s="245" t="s">
        <v>11</v>
      </c>
      <c r="C12" s="245"/>
      <c r="D12" s="245"/>
      <c r="E12" s="245"/>
      <c r="F12" s="262" t="str">
        <f>IF(F11&gt;F4,"Yes",IF(F11=F4,"Yes","No"))</f>
        <v>No</v>
      </c>
      <c r="G12" s="263"/>
    </row>
    <row r="23" ht="15" customHeight="1" x14ac:dyDescent="0.25"/>
    <row r="28" ht="27.75" customHeight="1" x14ac:dyDescent="0.25"/>
    <row r="36" spans="8:11" x14ac:dyDescent="0.25">
      <c r="H36" s="199"/>
    </row>
    <row r="38" spans="8:11" ht="30" customHeight="1" x14ac:dyDescent="0.25"/>
    <row r="39" spans="8:11" ht="29.25" customHeight="1" x14ac:dyDescent="0.25"/>
    <row r="40" spans="8:11" ht="31.5" customHeight="1" x14ac:dyDescent="0.25"/>
    <row r="48" spans="8:11" x14ac:dyDescent="0.25">
      <c r="H48" s="12"/>
      <c r="I48" s="12"/>
      <c r="J48" s="12"/>
      <c r="K48" s="12"/>
    </row>
  </sheetData>
  <sheetProtection algorithmName="SHA-512" hashValue="sWRDqNtxLWi2j3zdVfQZOEnR+w9oKgPq/ZXhM3v/CUirK8cqCh2fpUEy++VCSxVJaX4TnbXoFbPv99k/5IF3yg==" saltValue="F0yAWDXE/jvjUAEOTEkwzg==" spinCount="100000" sheet="1" formatColumns="0" formatRows="0"/>
  <mergeCells count="15">
    <mergeCell ref="F2:G2"/>
    <mergeCell ref="F8:G8"/>
    <mergeCell ref="F6:G6"/>
    <mergeCell ref="F12:G12"/>
    <mergeCell ref="B7:E7"/>
    <mergeCell ref="B2:E2"/>
    <mergeCell ref="B11:E11"/>
    <mergeCell ref="B10:E10"/>
    <mergeCell ref="B5:E5"/>
    <mergeCell ref="B3:E3"/>
    <mergeCell ref="B4:E4"/>
    <mergeCell ref="B12:E12"/>
    <mergeCell ref="B9:G9"/>
    <mergeCell ref="B8:E8"/>
    <mergeCell ref="B6:E6"/>
  </mergeCells>
  <pageMargins left="0.7" right="0.7" top="1" bottom="0.75" header="0.3" footer="0.3"/>
  <pageSetup paperSize="278" orientation="portrait" r:id="rId1"/>
  <headerFooter>
    <oddHeader>&amp;C&amp;18NOI QUESTIONS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L250"/>
  <sheetViews>
    <sheetView view="pageLayout" zoomScaleNormal="100" workbookViewId="0">
      <selection activeCell="C25" sqref="C25"/>
    </sheetView>
  </sheetViews>
  <sheetFormatPr defaultColWidth="9.1796875" defaultRowHeight="14.5" x14ac:dyDescent="0.35"/>
  <cols>
    <col min="1" max="1" width="12.7265625" style="1" customWidth="1"/>
    <col min="2" max="2" width="12" style="1" customWidth="1"/>
    <col min="3" max="3" width="11.7265625" style="1" customWidth="1"/>
    <col min="4" max="4" width="10.81640625" style="1" customWidth="1"/>
    <col min="5" max="5" width="10.7265625" style="1" customWidth="1"/>
    <col min="6" max="6" width="7.54296875" style="1" customWidth="1"/>
    <col min="7" max="7" width="12.26953125" style="1" customWidth="1"/>
    <col min="8" max="8" width="16" style="1" customWidth="1"/>
    <col min="9" max="16384" width="9.1796875" style="1"/>
  </cols>
  <sheetData>
    <row r="1" spans="1:12" ht="15" customHeight="1" x14ac:dyDescent="0.35">
      <c r="A1" s="16" t="s">
        <v>56</v>
      </c>
      <c r="B1" s="225" t="str">
        <f>IF('STEP 2-WQv Calculation'!$B$4="","",'STEP 2-WQv Calculation'!$B$4)</f>
        <v/>
      </c>
      <c r="C1" s="4"/>
      <c r="D1" s="4"/>
      <c r="E1" s="4"/>
      <c r="F1" s="4"/>
      <c r="G1" s="4"/>
      <c r="H1" s="4"/>
      <c r="I1" s="255" t="s">
        <v>219</v>
      </c>
      <c r="J1" s="256"/>
      <c r="K1" s="49">
        <f>SUM(B4,B29,B54,B79,B104,B129,B154,B179,B204,B229)</f>
        <v>0</v>
      </c>
      <c r="L1" s="12" t="s">
        <v>223</v>
      </c>
    </row>
    <row r="2" spans="1:12" ht="15" customHeight="1" x14ac:dyDescent="0.35">
      <c r="A2" s="273" t="s">
        <v>243</v>
      </c>
      <c r="B2" s="273"/>
      <c r="C2" s="273"/>
      <c r="D2" s="273"/>
      <c r="E2" s="273"/>
      <c r="F2" s="273"/>
      <c r="G2" s="273"/>
      <c r="H2" s="273"/>
      <c r="I2" s="255" t="s">
        <v>245</v>
      </c>
      <c r="J2" s="256"/>
      <c r="K2" s="21">
        <f>SUM(C4,C29,C54,C79,C104,C129,C154,C179,C204,C229)</f>
        <v>0</v>
      </c>
      <c r="L2" s="12" t="s">
        <v>223</v>
      </c>
    </row>
    <row r="3" spans="1:12" ht="46.75" customHeight="1" x14ac:dyDescent="0.35">
      <c r="A3" s="204" t="s">
        <v>60</v>
      </c>
      <c r="B3" s="205" t="s">
        <v>61</v>
      </c>
      <c r="C3" s="205" t="s">
        <v>62</v>
      </c>
      <c r="D3" s="205" t="s">
        <v>63</v>
      </c>
      <c r="E3" s="205" t="s">
        <v>64</v>
      </c>
      <c r="F3" s="205" t="s">
        <v>65</v>
      </c>
      <c r="G3" s="205" t="s">
        <v>244</v>
      </c>
      <c r="H3" s="206" t="s">
        <v>13</v>
      </c>
      <c r="I3" s="255" t="s">
        <v>227</v>
      </c>
      <c r="J3" s="256"/>
      <c r="K3" s="28">
        <f>SUM(C25,C50,C75,C100,C125,C150,C175,C200,C225,C250)</f>
        <v>0</v>
      </c>
      <c r="L3" s="12" t="s">
        <v>2</v>
      </c>
    </row>
    <row r="4" spans="1:12" ht="30.7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row>
    <row r="5" spans="1:12" ht="15" customHeight="1" x14ac:dyDescent="0.35">
      <c r="A5" s="273" t="s">
        <v>226</v>
      </c>
      <c r="B5" s="273"/>
      <c r="C5" s="273"/>
      <c r="D5" s="273"/>
      <c r="E5" s="273"/>
      <c r="F5" s="273"/>
      <c r="G5" s="273"/>
      <c r="H5" s="273"/>
      <c r="I5" s="4"/>
    </row>
    <row r="6" spans="1:12" ht="29.25" customHeight="1" x14ac:dyDescent="0.35">
      <c r="A6" s="325" t="s">
        <v>277</v>
      </c>
      <c r="B6" s="326"/>
      <c r="C6" s="327"/>
      <c r="D6" s="196" t="str">
        <f>IF(B4="","",IF((D21*D22)&gt;=(C4*43560),"No","Yes"))</f>
        <v/>
      </c>
      <c r="E6" s="322" t="str">
        <f>IF(D6="Yes","Does not meet design criteria","")</f>
        <v/>
      </c>
      <c r="F6" s="323"/>
      <c r="G6" s="323"/>
      <c r="H6" s="324"/>
      <c r="I6" s="4"/>
    </row>
    <row r="7" spans="1:12" ht="26.5" customHeight="1" x14ac:dyDescent="0.35">
      <c r="A7" s="245" t="s">
        <v>247</v>
      </c>
      <c r="B7" s="245"/>
      <c r="C7" s="245"/>
      <c r="D7" s="211"/>
      <c r="E7" s="322" t="str">
        <f>IF(D7="","This practice cannot be used for hotspot treatment",IF(D7="Yes","Does not meet design criteria",""))</f>
        <v>This practice cannot be used for hotspot treatment</v>
      </c>
      <c r="F7" s="323"/>
      <c r="G7" s="323"/>
      <c r="H7" s="324"/>
      <c r="I7" s="4"/>
    </row>
    <row r="8" spans="1:12" ht="24" customHeight="1" x14ac:dyDescent="0.35">
      <c r="A8" s="245" t="s">
        <v>278</v>
      </c>
      <c r="B8" s="245"/>
      <c r="C8" s="245"/>
      <c r="D8" s="211"/>
      <c r="E8" s="322" t="str">
        <f>IF(D8="Yes","Does not meet design criteria","")</f>
        <v/>
      </c>
      <c r="F8" s="323"/>
      <c r="G8" s="323"/>
      <c r="H8" s="324"/>
      <c r="I8" s="4"/>
    </row>
    <row r="9" spans="1:12" ht="15.65" customHeight="1" x14ac:dyDescent="0.35">
      <c r="A9" s="245" t="s">
        <v>279</v>
      </c>
      <c r="B9" s="245"/>
      <c r="C9" s="245"/>
      <c r="D9" s="209"/>
      <c r="E9" s="322" t="str">
        <f>IF(D9&gt;10,"Does not meet design criteria","")</f>
        <v/>
      </c>
      <c r="F9" s="323"/>
      <c r="G9" s="323"/>
      <c r="H9" s="324"/>
      <c r="I9" s="4"/>
    </row>
    <row r="10" spans="1:12" ht="15" customHeight="1" x14ac:dyDescent="0.35">
      <c r="A10" s="245" t="s">
        <v>280</v>
      </c>
      <c r="B10" s="245"/>
      <c r="C10" s="245"/>
      <c r="D10" s="211"/>
      <c r="E10" s="322"/>
      <c r="F10" s="323"/>
      <c r="G10" s="323"/>
      <c r="H10" s="324"/>
      <c r="I10" s="4"/>
    </row>
    <row r="11" spans="1:12" ht="15" customHeight="1" x14ac:dyDescent="0.35">
      <c r="A11" s="245" t="s">
        <v>281</v>
      </c>
      <c r="B11" s="245"/>
      <c r="C11" s="245"/>
      <c r="D11" s="328"/>
      <c r="E11" s="316" t="str">
        <f>IF(D11&gt;10,"Does not meet design criteria","")</f>
        <v/>
      </c>
      <c r="F11" s="317"/>
      <c r="G11" s="317"/>
      <c r="H11" s="318"/>
      <c r="I11" s="4"/>
    </row>
    <row r="12" spans="1:12" ht="24.65" customHeight="1" x14ac:dyDescent="0.35">
      <c r="A12" s="245"/>
      <c r="B12" s="245"/>
      <c r="C12" s="245"/>
      <c r="D12" s="329"/>
      <c r="E12" s="319"/>
      <c r="F12" s="320"/>
      <c r="G12" s="320"/>
      <c r="H12" s="321"/>
      <c r="I12" s="4"/>
    </row>
    <row r="13" spans="1:12" ht="30" customHeight="1" x14ac:dyDescent="0.35">
      <c r="A13" s="245" t="s">
        <v>282</v>
      </c>
      <c r="B13" s="245"/>
      <c r="C13" s="245"/>
      <c r="D13" s="211"/>
      <c r="E13" s="322"/>
      <c r="F13" s="323"/>
      <c r="G13" s="323"/>
      <c r="H13" s="324"/>
      <c r="I13" s="4"/>
    </row>
    <row r="14" spans="1:12" ht="37.9" customHeight="1" x14ac:dyDescent="0.35">
      <c r="A14" s="242" t="s">
        <v>283</v>
      </c>
      <c r="B14" s="243"/>
      <c r="C14" s="244"/>
      <c r="D14" s="59"/>
      <c r="E14" s="322" t="str">
        <f>IF(D14&gt;20,"Does not meet design criteria","")</f>
        <v/>
      </c>
      <c r="F14" s="323"/>
      <c r="G14" s="323"/>
      <c r="H14" s="324"/>
      <c r="I14" s="4"/>
    </row>
    <row r="15" spans="1:12" x14ac:dyDescent="0.35">
      <c r="A15" s="242" t="s">
        <v>284</v>
      </c>
      <c r="B15" s="243"/>
      <c r="C15" s="244"/>
      <c r="D15" s="59"/>
      <c r="E15" s="322" t="str">
        <f>IF(D15&gt;6,"Does not meet design criteria","")</f>
        <v/>
      </c>
      <c r="F15" s="323"/>
      <c r="G15" s="323"/>
      <c r="H15" s="324"/>
      <c r="I15" s="4"/>
    </row>
    <row r="16" spans="1:12" x14ac:dyDescent="0.35">
      <c r="A16" s="242" t="s">
        <v>285</v>
      </c>
      <c r="B16" s="243"/>
      <c r="C16" s="244"/>
      <c r="D16" s="59"/>
      <c r="E16" s="322" t="str">
        <f>IF(D16&lt;3,"Does not meet design criteria","")</f>
        <v>Does not meet design criteria</v>
      </c>
      <c r="F16" s="323"/>
      <c r="G16" s="323"/>
      <c r="H16" s="324"/>
      <c r="I16" s="4"/>
    </row>
    <row r="17" spans="1:9" x14ac:dyDescent="0.35">
      <c r="A17" s="242" t="s">
        <v>286</v>
      </c>
      <c r="B17" s="243"/>
      <c r="C17" s="244"/>
      <c r="D17" s="59"/>
      <c r="E17" s="322" t="str">
        <f>IF(D17="","",IF(D17&lt;36,"Does not meet design criteria",""))</f>
        <v/>
      </c>
      <c r="F17" s="323"/>
      <c r="G17" s="323"/>
      <c r="H17" s="324"/>
      <c r="I17" s="4"/>
    </row>
    <row r="18" spans="1:9" ht="15.65" customHeight="1" x14ac:dyDescent="0.35">
      <c r="A18" s="242" t="s">
        <v>287</v>
      </c>
      <c r="B18" s="243"/>
      <c r="C18" s="244"/>
      <c r="D18" s="59"/>
      <c r="E18" s="322" t="str">
        <f>IF(D18="","",IF(D18&lt;5,"Does not meet design criteria",""))</f>
        <v/>
      </c>
      <c r="F18" s="323"/>
      <c r="G18" s="323"/>
      <c r="H18" s="324"/>
      <c r="I18" s="4"/>
    </row>
    <row r="19" spans="1:9" ht="15.65" customHeight="1" x14ac:dyDescent="0.35">
      <c r="A19" s="242" t="s">
        <v>288</v>
      </c>
      <c r="B19" s="243"/>
      <c r="C19" s="244"/>
      <c r="D19" s="59"/>
      <c r="E19" s="322" t="str">
        <f>IF(D19="","",IF(D19&lt;5,"Does not meet design criteria",""))</f>
        <v/>
      </c>
      <c r="F19" s="323"/>
      <c r="G19" s="323"/>
      <c r="H19" s="324"/>
      <c r="I19" s="4"/>
    </row>
    <row r="20" spans="1:9" ht="15.65" customHeight="1" x14ac:dyDescent="0.35">
      <c r="A20" s="242" t="s">
        <v>289</v>
      </c>
      <c r="B20" s="243"/>
      <c r="C20" s="244"/>
      <c r="D20" s="59"/>
      <c r="E20" s="322"/>
      <c r="F20" s="323"/>
      <c r="G20" s="323"/>
      <c r="H20" s="324"/>
      <c r="I20" s="4"/>
    </row>
    <row r="21" spans="1:9" ht="15.65" customHeight="1" x14ac:dyDescent="0.35">
      <c r="A21" s="242" t="s">
        <v>290</v>
      </c>
      <c r="B21" s="243"/>
      <c r="C21" s="244"/>
      <c r="D21" s="134">
        <f>IF(D20&lt;16,3.14*D20^2/4/2,IF(D20&gt;=16,100))</f>
        <v>0</v>
      </c>
      <c r="E21" s="322"/>
      <c r="F21" s="323"/>
      <c r="G21" s="323"/>
      <c r="H21" s="324"/>
      <c r="I21" s="4"/>
    </row>
    <row r="22" spans="1:9" ht="15.65" customHeight="1" x14ac:dyDescent="0.35">
      <c r="A22" s="242" t="s">
        <v>291</v>
      </c>
      <c r="B22" s="243"/>
      <c r="C22" s="244"/>
      <c r="D22" s="59"/>
      <c r="E22" s="322"/>
      <c r="F22" s="323"/>
      <c r="G22" s="323"/>
      <c r="H22" s="324"/>
      <c r="I22" s="4"/>
    </row>
    <row r="23" spans="1:9" ht="15.65" customHeight="1" x14ac:dyDescent="0.35">
      <c r="A23" s="242" t="s">
        <v>292</v>
      </c>
      <c r="B23" s="243"/>
      <c r="C23" s="244"/>
      <c r="D23" s="134">
        <f>D21*D22</f>
        <v>0</v>
      </c>
      <c r="E23" s="322"/>
      <c r="F23" s="323"/>
      <c r="G23" s="323"/>
      <c r="H23" s="324"/>
      <c r="I23" s="4"/>
    </row>
    <row r="24" spans="1:9" s="12" customFormat="1" ht="15" customHeight="1" x14ac:dyDescent="0.35">
      <c r="A24" s="236" t="s">
        <v>276</v>
      </c>
      <c r="B24" s="237"/>
      <c r="C24" s="237"/>
      <c r="D24" s="237"/>
      <c r="E24" s="237"/>
      <c r="F24" s="237"/>
      <c r="G24" s="237"/>
      <c r="H24" s="238"/>
    </row>
    <row r="25" spans="1:9" s="12" customFormat="1" ht="13" x14ac:dyDescent="0.35">
      <c r="A25" s="239" t="s">
        <v>241</v>
      </c>
      <c r="B25" s="239"/>
      <c r="C25" s="9" t="str">
        <f>IF(F4="","",IF(B4="",0,IF(D6="YES",0,IF(D7="YES",0,IF(D8="YES",0,IF(D9&gt;10,0,IF(D11&gt;10,0,IF(D14&gt;20,0,IF(D15&gt;6,0,IF(D16&lt;3,0,IF(D17&lt;36,0,IF(D18&lt;5,0,IF(D19&lt;5,0,F4)))))))))))))</f>
        <v/>
      </c>
      <c r="D25" s="240" t="s">
        <v>2</v>
      </c>
      <c r="E25" s="240"/>
      <c r="F25" s="240"/>
      <c r="G25" s="240"/>
      <c r="H25" s="240"/>
    </row>
    <row r="26" spans="1:9" x14ac:dyDescent="0.35">
      <c r="A26" s="16" t="s">
        <v>56</v>
      </c>
      <c r="B26" s="225" t="str">
        <f>IF('STEP 2-WQv Calculation'!$B$4="","",'STEP 2-WQv Calculation'!$B$4)</f>
        <v/>
      </c>
      <c r="C26" s="4"/>
      <c r="D26" s="4"/>
      <c r="E26" s="4"/>
      <c r="F26" s="4"/>
      <c r="G26" s="4"/>
      <c r="H26" s="4"/>
    </row>
    <row r="27" spans="1:9" ht="14.5" customHeight="1" x14ac:dyDescent="0.35">
      <c r="A27" s="273" t="s">
        <v>243</v>
      </c>
      <c r="B27" s="273"/>
      <c r="C27" s="273"/>
      <c r="D27" s="273"/>
      <c r="E27" s="273"/>
      <c r="F27" s="273"/>
      <c r="G27" s="273"/>
      <c r="H27" s="273"/>
    </row>
    <row r="28" spans="1:9" ht="38.5" x14ac:dyDescent="0.35">
      <c r="A28" s="204" t="s">
        <v>60</v>
      </c>
      <c r="B28" s="205" t="s">
        <v>61</v>
      </c>
      <c r="C28" s="205" t="s">
        <v>62</v>
      </c>
      <c r="D28" s="205" t="s">
        <v>63</v>
      </c>
      <c r="E28" s="205" t="s">
        <v>64</v>
      </c>
      <c r="F28" s="205" t="s">
        <v>65</v>
      </c>
      <c r="G28" s="205" t="s">
        <v>244</v>
      </c>
      <c r="H28" s="206" t="s">
        <v>13</v>
      </c>
    </row>
    <row r="29" spans="1:9" x14ac:dyDescent="0.35">
      <c r="A29" s="218"/>
      <c r="B29" s="3" t="str">
        <f>IF($A29="","",(LOOKUP($A29,'STEP 2-WQv Calculation'!$A$8:$A$37,'STEP 2-WQv Calculation'!$B$8:$B$37)))</f>
        <v/>
      </c>
      <c r="C29" s="3" t="str">
        <f>IF($A29="","",(LOOKUP($A29,'STEP 2-WQv Calculation'!$A$8:$A$37,'STEP 2-WQv Calculation'!$C$8:$C$37)))</f>
        <v/>
      </c>
      <c r="D29" s="212" t="str">
        <f>IF($A29="","",(LOOKUP($A29,'STEP 2-WQv Calculation'!$A$8:$A$37,'STEP 2-WQv Calculation'!$D$8:$D$37)))</f>
        <v/>
      </c>
      <c r="E29" s="3" t="str">
        <f>IF($A29="","",(LOOKUP($A29,'STEP 2-WQv Calculation'!$A$8:$A$37,'STEP 2-WQv Calculation'!$E$8:$E$37)))</f>
        <v/>
      </c>
      <c r="F29" s="217" t="str">
        <f>IF($A29="","",(LOOKUP($A29,'STEP 2-WQv Calculation'!$A$8:$A$37,'STEP 2-WQv Calculation'!$F$8:$F$37)))</f>
        <v/>
      </c>
      <c r="G29" s="22">
        <f>'STEP 2-WQv Calculation'!B5</f>
        <v>0</v>
      </c>
      <c r="H29" s="198" t="str">
        <f>IF($A29="","",(LOOKUP($A29,'STEP 2-WQv Calculation'!$A$8:$A$37,'STEP 2-WQv Calculation'!$G$8:$G$37)))</f>
        <v/>
      </c>
    </row>
    <row r="30" spans="1:9" ht="14.5" customHeight="1" x14ac:dyDescent="0.35">
      <c r="A30" s="273" t="s">
        <v>226</v>
      </c>
      <c r="B30" s="273"/>
      <c r="C30" s="273"/>
      <c r="D30" s="273"/>
      <c r="E30" s="273"/>
      <c r="F30" s="273"/>
      <c r="G30" s="273"/>
      <c r="H30" s="273"/>
    </row>
    <row r="31" spans="1:9" ht="28.5" customHeight="1" x14ac:dyDescent="0.35">
      <c r="A31" s="325" t="s">
        <v>277</v>
      </c>
      <c r="B31" s="326"/>
      <c r="C31" s="327"/>
      <c r="D31" s="196" t="str">
        <f>IF(B29="","",IF((D46*D47)&gt;=(C29*43560),"No","Yes"))</f>
        <v/>
      </c>
      <c r="E31" s="322" t="str">
        <f>IF(D31="Yes","Does not meet design criteria","")</f>
        <v/>
      </c>
      <c r="F31" s="323"/>
      <c r="G31" s="323"/>
      <c r="H31" s="324"/>
    </row>
    <row r="32" spans="1:9" ht="27.75" customHeight="1" x14ac:dyDescent="0.35">
      <c r="A32" s="245" t="s">
        <v>247</v>
      </c>
      <c r="B32" s="245"/>
      <c r="C32" s="245"/>
      <c r="D32" s="211"/>
      <c r="E32" s="322" t="str">
        <f>IF(D32="","This practice cannot be used for hotspot treatment",IF(D32="Yes","Does not meet design criteria",""))</f>
        <v>This practice cannot be used for hotspot treatment</v>
      </c>
      <c r="F32" s="323"/>
      <c r="G32" s="323"/>
      <c r="H32" s="324"/>
    </row>
    <row r="33" spans="1:8" ht="27.75" customHeight="1" x14ac:dyDescent="0.35">
      <c r="A33" s="245" t="s">
        <v>278</v>
      </c>
      <c r="B33" s="245"/>
      <c r="C33" s="245"/>
      <c r="D33" s="211"/>
      <c r="E33" s="322" t="str">
        <f>IF(D33="Yes","Does not meet design criteria","")</f>
        <v/>
      </c>
      <c r="F33" s="323"/>
      <c r="G33" s="323"/>
      <c r="H33" s="324"/>
    </row>
    <row r="34" spans="1:8" ht="14.5" customHeight="1" x14ac:dyDescent="0.35">
      <c r="A34" s="245" t="s">
        <v>279</v>
      </c>
      <c r="B34" s="245"/>
      <c r="C34" s="245"/>
      <c r="D34" s="209"/>
      <c r="E34" s="322" t="str">
        <f>IF(D34&gt;10,"Does not meet design criteria","")</f>
        <v/>
      </c>
      <c r="F34" s="323"/>
      <c r="G34" s="323"/>
      <c r="H34" s="324"/>
    </row>
    <row r="35" spans="1:8" ht="14.5" customHeight="1" x14ac:dyDescent="0.35">
      <c r="A35" s="245" t="s">
        <v>280</v>
      </c>
      <c r="B35" s="245"/>
      <c r="C35" s="245"/>
      <c r="D35" s="211"/>
      <c r="E35" s="322"/>
      <c r="F35" s="323"/>
      <c r="G35" s="323"/>
      <c r="H35" s="324"/>
    </row>
    <row r="36" spans="1:8" ht="28.5" customHeight="1" x14ac:dyDescent="0.35">
      <c r="A36" s="245" t="s">
        <v>281</v>
      </c>
      <c r="B36" s="245"/>
      <c r="C36" s="245"/>
      <c r="D36" s="328"/>
      <c r="E36" s="316" t="str">
        <f>IF(D36&gt;10,"Does not meet design criteria","")</f>
        <v/>
      </c>
      <c r="F36" s="317"/>
      <c r="G36" s="317"/>
      <c r="H36" s="318"/>
    </row>
    <row r="37" spans="1:8" ht="16.5" customHeight="1" x14ac:dyDescent="0.35">
      <c r="A37" s="245"/>
      <c r="B37" s="245"/>
      <c r="C37" s="245"/>
      <c r="D37" s="329"/>
      <c r="E37" s="319"/>
      <c r="F37" s="320"/>
      <c r="G37" s="320"/>
      <c r="H37" s="321"/>
    </row>
    <row r="38" spans="1:8" ht="27" customHeight="1" x14ac:dyDescent="0.35">
      <c r="A38" s="245" t="s">
        <v>282</v>
      </c>
      <c r="B38" s="245"/>
      <c r="C38" s="245"/>
      <c r="D38" s="211"/>
      <c r="E38" s="322"/>
      <c r="F38" s="323"/>
      <c r="G38" s="323"/>
      <c r="H38" s="324"/>
    </row>
    <row r="39" spans="1:8" ht="42.75" customHeight="1" x14ac:dyDescent="0.35">
      <c r="A39" s="242" t="s">
        <v>283</v>
      </c>
      <c r="B39" s="243"/>
      <c r="C39" s="244"/>
      <c r="D39" s="59"/>
      <c r="E39" s="322" t="str">
        <f>IF(D39&gt;20,"Does not meet design criteria","")</f>
        <v/>
      </c>
      <c r="F39" s="323"/>
      <c r="G39" s="323"/>
      <c r="H39" s="324"/>
    </row>
    <row r="40" spans="1:8" ht="14.5" customHeight="1" x14ac:dyDescent="0.35">
      <c r="A40" s="242" t="s">
        <v>284</v>
      </c>
      <c r="B40" s="243"/>
      <c r="C40" s="244"/>
      <c r="D40" s="59"/>
      <c r="E40" s="322" t="str">
        <f>IF(D40&gt;6,"Does not meet design criteria","")</f>
        <v/>
      </c>
      <c r="F40" s="323"/>
      <c r="G40" s="323"/>
      <c r="H40" s="324"/>
    </row>
    <row r="41" spans="1:8" ht="14.5" customHeight="1" x14ac:dyDescent="0.35">
      <c r="A41" s="242" t="s">
        <v>285</v>
      </c>
      <c r="B41" s="243"/>
      <c r="C41" s="244"/>
      <c r="D41" s="59"/>
      <c r="E41" s="322" t="str">
        <f>IF(D41&lt;3,"Does not meet design criteria","")</f>
        <v>Does not meet design criteria</v>
      </c>
      <c r="F41" s="323"/>
      <c r="G41" s="323"/>
      <c r="H41" s="324"/>
    </row>
    <row r="42" spans="1:8" ht="14.5" customHeight="1" x14ac:dyDescent="0.35">
      <c r="A42" s="242" t="s">
        <v>286</v>
      </c>
      <c r="B42" s="243"/>
      <c r="C42" s="244"/>
      <c r="D42" s="59"/>
      <c r="E42" s="322" t="str">
        <f>IF(D42="","",IF(D42&lt;36,"Does not meet design criteria",""))</f>
        <v/>
      </c>
      <c r="F42" s="323"/>
      <c r="G42" s="323"/>
      <c r="H42" s="324"/>
    </row>
    <row r="43" spans="1:8" ht="14.5" customHeight="1" x14ac:dyDescent="0.35">
      <c r="A43" s="242" t="s">
        <v>287</v>
      </c>
      <c r="B43" s="243"/>
      <c r="C43" s="244"/>
      <c r="D43" s="59"/>
      <c r="E43" s="322" t="str">
        <f>IF(D43="","",IF(D43&lt;5,"Does not meet design criteria",""))</f>
        <v/>
      </c>
      <c r="F43" s="323"/>
      <c r="G43" s="323"/>
      <c r="H43" s="324"/>
    </row>
    <row r="44" spans="1:8" ht="14.5" customHeight="1" x14ac:dyDescent="0.35">
      <c r="A44" s="242" t="s">
        <v>288</v>
      </c>
      <c r="B44" s="243"/>
      <c r="C44" s="244"/>
      <c r="D44" s="59"/>
      <c r="E44" s="322" t="str">
        <f>IF(D44="","",IF(D44&lt;5,"Does not meet design criteria",""))</f>
        <v/>
      </c>
      <c r="F44" s="323"/>
      <c r="G44" s="323"/>
      <c r="H44" s="324"/>
    </row>
    <row r="45" spans="1:8" ht="14.5" customHeight="1" x14ac:dyDescent="0.35">
      <c r="A45" s="242" t="s">
        <v>289</v>
      </c>
      <c r="B45" s="243"/>
      <c r="C45" s="244"/>
      <c r="D45" s="59"/>
      <c r="E45" s="322"/>
      <c r="F45" s="323"/>
      <c r="G45" s="323"/>
      <c r="H45" s="324"/>
    </row>
    <row r="46" spans="1:8" ht="14.5" customHeight="1" x14ac:dyDescent="0.35">
      <c r="A46" s="242" t="s">
        <v>290</v>
      </c>
      <c r="B46" s="243"/>
      <c r="C46" s="244"/>
      <c r="D46" s="134">
        <f>IF(D45&lt;16,3.14*D45^2/4/2,IF(D45&gt;=16,100))</f>
        <v>0</v>
      </c>
      <c r="E46" s="322"/>
      <c r="F46" s="323"/>
      <c r="G46" s="323"/>
      <c r="H46" s="324"/>
    </row>
    <row r="47" spans="1:8" ht="14.5" customHeight="1" x14ac:dyDescent="0.35">
      <c r="A47" s="242" t="s">
        <v>291</v>
      </c>
      <c r="B47" s="243"/>
      <c r="C47" s="244"/>
      <c r="D47" s="59"/>
      <c r="E47" s="322"/>
      <c r="F47" s="323"/>
      <c r="G47" s="323"/>
      <c r="H47" s="324"/>
    </row>
    <row r="48" spans="1:8" ht="14.5" customHeight="1" x14ac:dyDescent="0.35">
      <c r="A48" s="242" t="s">
        <v>292</v>
      </c>
      <c r="B48" s="243"/>
      <c r="C48" s="244"/>
      <c r="D48" s="134">
        <f>D46*D47</f>
        <v>0</v>
      </c>
      <c r="E48" s="322"/>
      <c r="F48" s="323"/>
      <c r="G48" s="323"/>
      <c r="H48" s="324"/>
    </row>
    <row r="49" spans="1:8" ht="14.5" customHeight="1" x14ac:dyDescent="0.35">
      <c r="A49" s="236" t="s">
        <v>276</v>
      </c>
      <c r="B49" s="237"/>
      <c r="C49" s="237"/>
      <c r="D49" s="237"/>
      <c r="E49" s="237"/>
      <c r="F49" s="237"/>
      <c r="G49" s="237"/>
      <c r="H49" s="238"/>
    </row>
    <row r="50" spans="1:8" x14ac:dyDescent="0.35">
      <c r="A50" s="239" t="s">
        <v>241</v>
      </c>
      <c r="B50" s="239"/>
      <c r="C50" s="9" t="str">
        <f>IF(F29="","",IF(B29="",0,IF(D31="YES",0,IF(D32="YES",0,IF(D33="YES",0,IF(D34&gt;10,0,IF(D36&gt;10,0,IF(D39&gt;20,0,IF(D40&gt;6,0,IF(D41&lt;3,0,IF(D42&lt;36,0,IF(D43&lt;5,0,IF(D44&lt;5,0,F29)))))))))))))</f>
        <v/>
      </c>
      <c r="D50" s="240" t="s">
        <v>2</v>
      </c>
      <c r="E50" s="240"/>
      <c r="F50" s="240"/>
      <c r="G50" s="240"/>
      <c r="H50" s="240"/>
    </row>
    <row r="51" spans="1:8" x14ac:dyDescent="0.35">
      <c r="A51" s="16" t="s">
        <v>56</v>
      </c>
      <c r="B51" s="225" t="str">
        <f>IF('STEP 2-WQv Calculation'!$B$4="","",'STEP 2-WQv Calculation'!$B$4)</f>
        <v/>
      </c>
      <c r="C51" s="4"/>
      <c r="D51" s="4"/>
      <c r="E51" s="4"/>
      <c r="F51" s="4"/>
      <c r="G51" s="4"/>
      <c r="H51" s="4"/>
    </row>
    <row r="52" spans="1:8" ht="14.5" customHeight="1" x14ac:dyDescent="0.35">
      <c r="A52" s="273" t="s">
        <v>243</v>
      </c>
      <c r="B52" s="273"/>
      <c r="C52" s="273"/>
      <c r="D52" s="273"/>
      <c r="E52" s="273"/>
      <c r="F52" s="273"/>
      <c r="G52" s="273"/>
      <c r="H52" s="273"/>
    </row>
    <row r="53" spans="1:8" ht="38.5" x14ac:dyDescent="0.35">
      <c r="A53" s="204" t="s">
        <v>60</v>
      </c>
      <c r="B53" s="205" t="s">
        <v>61</v>
      </c>
      <c r="C53" s="205" t="s">
        <v>62</v>
      </c>
      <c r="D53" s="205" t="s">
        <v>63</v>
      </c>
      <c r="E53" s="205" t="s">
        <v>64</v>
      </c>
      <c r="F53" s="205" t="s">
        <v>65</v>
      </c>
      <c r="G53" s="205" t="s">
        <v>244</v>
      </c>
      <c r="H53" s="206" t="s">
        <v>13</v>
      </c>
    </row>
    <row r="54" spans="1:8" x14ac:dyDescent="0.35">
      <c r="A54" s="218"/>
      <c r="B54" s="3" t="str">
        <f>IF($A54="","",(LOOKUP($A54,'STEP 2-WQv Calculation'!$A$8:$A$37,'STEP 2-WQv Calculation'!$B$8:$B$37)))</f>
        <v/>
      </c>
      <c r="C54" s="3" t="str">
        <f>IF($A54="","",(LOOKUP($A54,'STEP 2-WQv Calculation'!$A$8:$A$37,'STEP 2-WQv Calculation'!$C$8:$C$37)))</f>
        <v/>
      </c>
      <c r="D54" s="212" t="str">
        <f>IF($A54="","",(LOOKUP($A54,'STEP 2-WQv Calculation'!$A$8:$A$37,'STEP 2-WQv Calculation'!$D$8:$D$37)))</f>
        <v/>
      </c>
      <c r="E54" s="3" t="str">
        <f>IF($A54="","",(LOOKUP($A54,'STEP 2-WQv Calculation'!$A$8:$A$37,'STEP 2-WQv Calculation'!$E$8:$E$37)))</f>
        <v/>
      </c>
      <c r="F54" s="217" t="str">
        <f>IF($A54="","",(LOOKUP($A54,'STEP 2-WQv Calculation'!$A$8:$A$37,'STEP 2-WQv Calculation'!$F$8:$F$37)))</f>
        <v/>
      </c>
      <c r="G54" s="22">
        <f>'STEP 2-WQv Calculation'!B5</f>
        <v>0</v>
      </c>
      <c r="H54" s="198" t="str">
        <f>IF($A54="","",(LOOKUP($A54,'STEP 2-WQv Calculation'!$A$8:$A$37,'STEP 2-WQv Calculation'!$G$8:$G$37)))</f>
        <v/>
      </c>
    </row>
    <row r="55" spans="1:8" ht="14.5" customHeight="1" x14ac:dyDescent="0.35">
      <c r="A55" s="273" t="s">
        <v>226</v>
      </c>
      <c r="B55" s="273"/>
      <c r="C55" s="273"/>
      <c r="D55" s="273"/>
      <c r="E55" s="273"/>
      <c r="F55" s="273"/>
      <c r="G55" s="273"/>
      <c r="H55" s="273"/>
    </row>
    <row r="56" spans="1:8" ht="27" customHeight="1" x14ac:dyDescent="0.35">
      <c r="A56" s="325" t="s">
        <v>277</v>
      </c>
      <c r="B56" s="326"/>
      <c r="C56" s="327"/>
      <c r="D56" s="196" t="str">
        <f>IF(B54="","",IF((D71*D72)&gt;=(C54*43560),"No","Yes"))</f>
        <v/>
      </c>
      <c r="E56" s="322" t="str">
        <f>IF(D56="Yes","Does not meet design criteria","")</f>
        <v/>
      </c>
      <c r="F56" s="323"/>
      <c r="G56" s="323"/>
      <c r="H56" s="324"/>
    </row>
    <row r="57" spans="1:8" ht="28.5" customHeight="1" x14ac:dyDescent="0.35">
      <c r="A57" s="245" t="s">
        <v>247</v>
      </c>
      <c r="B57" s="245"/>
      <c r="C57" s="245"/>
      <c r="D57" s="211"/>
      <c r="E57" s="322" t="str">
        <f>IF(D57="","This practice cannot be used for hotspot treatment",IF(D57="Yes","Does not meet design criteria",""))</f>
        <v>This practice cannot be used for hotspot treatment</v>
      </c>
      <c r="F57" s="323"/>
      <c r="G57" s="323"/>
      <c r="H57" s="324"/>
    </row>
    <row r="58" spans="1:8" ht="28.5" customHeight="1" x14ac:dyDescent="0.35">
      <c r="A58" s="245" t="s">
        <v>278</v>
      </c>
      <c r="B58" s="245"/>
      <c r="C58" s="245"/>
      <c r="D58" s="211"/>
      <c r="E58" s="322" t="str">
        <f>IF(D58="Yes","Does not meet design criteria","")</f>
        <v/>
      </c>
      <c r="F58" s="323"/>
      <c r="G58" s="323"/>
      <c r="H58" s="324"/>
    </row>
    <row r="59" spans="1:8" ht="14.5" customHeight="1" x14ac:dyDescent="0.35">
      <c r="A59" s="245" t="s">
        <v>279</v>
      </c>
      <c r="B59" s="245"/>
      <c r="C59" s="245"/>
      <c r="D59" s="209"/>
      <c r="E59" s="322" t="str">
        <f>IF(D59&gt;10,"Does not meet design criteria","")</f>
        <v/>
      </c>
      <c r="F59" s="323"/>
      <c r="G59" s="323"/>
      <c r="H59" s="324"/>
    </row>
    <row r="60" spans="1:8" ht="14.5" customHeight="1" x14ac:dyDescent="0.35">
      <c r="A60" s="245" t="s">
        <v>280</v>
      </c>
      <c r="B60" s="245"/>
      <c r="C60" s="245"/>
      <c r="D60" s="211"/>
      <c r="E60" s="322"/>
      <c r="F60" s="323"/>
      <c r="G60" s="323"/>
      <c r="H60" s="324"/>
    </row>
    <row r="61" spans="1:8" ht="14.5" customHeight="1" x14ac:dyDescent="0.35">
      <c r="A61" s="245" t="s">
        <v>281</v>
      </c>
      <c r="B61" s="245"/>
      <c r="C61" s="245"/>
      <c r="D61" s="328"/>
      <c r="E61" s="316" t="str">
        <f>IF(D61&gt;10,"Does not meet design criteria","")</f>
        <v/>
      </c>
      <c r="F61" s="317"/>
      <c r="G61" s="317"/>
      <c r="H61" s="318"/>
    </row>
    <row r="62" spans="1:8" ht="28.5" customHeight="1" x14ac:dyDescent="0.35">
      <c r="A62" s="245"/>
      <c r="B62" s="245"/>
      <c r="C62" s="245"/>
      <c r="D62" s="329"/>
      <c r="E62" s="319"/>
      <c r="F62" s="320"/>
      <c r="G62" s="320"/>
      <c r="H62" s="321"/>
    </row>
    <row r="63" spans="1:8" ht="26.25" customHeight="1" x14ac:dyDescent="0.35">
      <c r="A63" s="245" t="s">
        <v>282</v>
      </c>
      <c r="B63" s="245"/>
      <c r="C63" s="245"/>
      <c r="D63" s="211"/>
      <c r="E63" s="322"/>
      <c r="F63" s="323"/>
      <c r="G63" s="323"/>
      <c r="H63" s="324"/>
    </row>
    <row r="64" spans="1:8" ht="43.5" customHeight="1" x14ac:dyDescent="0.35">
      <c r="A64" s="242" t="s">
        <v>283</v>
      </c>
      <c r="B64" s="243"/>
      <c r="C64" s="244"/>
      <c r="D64" s="59"/>
      <c r="E64" s="322" t="str">
        <f>IF(D64&gt;20,"Does not meet design criteria","")</f>
        <v/>
      </c>
      <c r="F64" s="323"/>
      <c r="G64" s="323"/>
      <c r="H64" s="324"/>
    </row>
    <row r="65" spans="1:8" ht="14.5" customHeight="1" x14ac:dyDescent="0.35">
      <c r="A65" s="242" t="s">
        <v>284</v>
      </c>
      <c r="B65" s="243"/>
      <c r="C65" s="244"/>
      <c r="D65" s="59"/>
      <c r="E65" s="322" t="str">
        <f>IF(D65&gt;6,"Does not meet design criteria","")</f>
        <v/>
      </c>
      <c r="F65" s="323"/>
      <c r="G65" s="323"/>
      <c r="H65" s="324"/>
    </row>
    <row r="66" spans="1:8" ht="14.5" customHeight="1" x14ac:dyDescent="0.35">
      <c r="A66" s="242" t="s">
        <v>285</v>
      </c>
      <c r="B66" s="243"/>
      <c r="C66" s="244"/>
      <c r="D66" s="59"/>
      <c r="E66" s="322" t="str">
        <f>IF(D66&lt;3,"Does not meet design criteria","")</f>
        <v>Does not meet design criteria</v>
      </c>
      <c r="F66" s="323"/>
      <c r="G66" s="323"/>
      <c r="H66" s="324"/>
    </row>
    <row r="67" spans="1:8" ht="14.5" customHeight="1" x14ac:dyDescent="0.35">
      <c r="A67" s="242" t="s">
        <v>286</v>
      </c>
      <c r="B67" s="243"/>
      <c r="C67" s="244"/>
      <c r="D67" s="59"/>
      <c r="E67" s="322" t="str">
        <f>IF(D67="","",IF(D67&lt;36,"Does not meet design criteria",""))</f>
        <v/>
      </c>
      <c r="F67" s="323"/>
      <c r="G67" s="323"/>
      <c r="H67" s="324"/>
    </row>
    <row r="68" spans="1:8" ht="14.5" customHeight="1" x14ac:dyDescent="0.35">
      <c r="A68" s="242" t="s">
        <v>287</v>
      </c>
      <c r="B68" s="243"/>
      <c r="C68" s="244"/>
      <c r="D68" s="59"/>
      <c r="E68" s="322" t="str">
        <f>IF(D68="","",IF(D68&lt;5,"Does not meet design criteria",""))</f>
        <v/>
      </c>
      <c r="F68" s="323"/>
      <c r="G68" s="323"/>
      <c r="H68" s="324"/>
    </row>
    <row r="69" spans="1:8" ht="14.5" customHeight="1" x14ac:dyDescent="0.35">
      <c r="A69" s="242" t="s">
        <v>288</v>
      </c>
      <c r="B69" s="243"/>
      <c r="C69" s="244"/>
      <c r="D69" s="59"/>
      <c r="E69" s="322" t="str">
        <f>IF(D69="","",IF(D69&lt;5,"Does not meet design criteria",""))</f>
        <v/>
      </c>
      <c r="F69" s="323"/>
      <c r="G69" s="323"/>
      <c r="H69" s="324"/>
    </row>
    <row r="70" spans="1:8" ht="14.5" customHeight="1" x14ac:dyDescent="0.35">
      <c r="A70" s="242" t="s">
        <v>289</v>
      </c>
      <c r="B70" s="243"/>
      <c r="C70" s="244"/>
      <c r="D70" s="59"/>
      <c r="E70" s="322"/>
      <c r="F70" s="323"/>
      <c r="G70" s="323"/>
      <c r="H70" s="324"/>
    </row>
    <row r="71" spans="1:8" ht="14.5" customHeight="1" x14ac:dyDescent="0.35">
      <c r="A71" s="242" t="s">
        <v>290</v>
      </c>
      <c r="B71" s="243"/>
      <c r="C71" s="244"/>
      <c r="D71" s="134">
        <f>IF(D70&lt;16,3.14*D70^2/4/2,IF(D70&gt;=16,100))</f>
        <v>0</v>
      </c>
      <c r="E71" s="322"/>
      <c r="F71" s="323"/>
      <c r="G71" s="323"/>
      <c r="H71" s="324"/>
    </row>
    <row r="72" spans="1:8" ht="14.5" customHeight="1" x14ac:dyDescent="0.35">
      <c r="A72" s="242" t="s">
        <v>291</v>
      </c>
      <c r="B72" s="243"/>
      <c r="C72" s="244"/>
      <c r="D72" s="59"/>
      <c r="E72" s="322"/>
      <c r="F72" s="323"/>
      <c r="G72" s="323"/>
      <c r="H72" s="324"/>
    </row>
    <row r="73" spans="1:8" ht="14.5" customHeight="1" x14ac:dyDescent="0.35">
      <c r="A73" s="242" t="s">
        <v>292</v>
      </c>
      <c r="B73" s="243"/>
      <c r="C73" s="244"/>
      <c r="D73" s="134">
        <f>D71*D72</f>
        <v>0</v>
      </c>
      <c r="E73" s="322"/>
      <c r="F73" s="323"/>
      <c r="G73" s="323"/>
      <c r="H73" s="324"/>
    </row>
    <row r="74" spans="1:8" ht="14.5" customHeight="1" x14ac:dyDescent="0.35">
      <c r="A74" s="236" t="s">
        <v>276</v>
      </c>
      <c r="B74" s="237"/>
      <c r="C74" s="237"/>
      <c r="D74" s="237"/>
      <c r="E74" s="237"/>
      <c r="F74" s="237"/>
      <c r="G74" s="237"/>
      <c r="H74" s="238"/>
    </row>
    <row r="75" spans="1:8" x14ac:dyDescent="0.35">
      <c r="A75" s="239" t="s">
        <v>241</v>
      </c>
      <c r="B75" s="239"/>
      <c r="C75" s="9" t="str">
        <f>IF(F54="","",IF(B54="",0,IF(D56="YES",0,IF(D57="YES",0,IF(D58="YES",0,IF(D59&gt;10,0,IF(D61&gt;10,0,IF(D64&gt;20,0,IF(D65&gt;6,0,IF(D66&lt;3,0,IF(D67&lt;36,0,IF(D68&lt;5,0,IF(D69&lt;5,0,F54)))))))))))))</f>
        <v/>
      </c>
      <c r="D75" s="240" t="s">
        <v>2</v>
      </c>
      <c r="E75" s="240"/>
      <c r="F75" s="240"/>
      <c r="G75" s="240"/>
      <c r="H75" s="240"/>
    </row>
    <row r="76" spans="1:8" x14ac:dyDescent="0.35">
      <c r="A76" s="16" t="s">
        <v>56</v>
      </c>
      <c r="B76" s="225" t="str">
        <f>IF('STEP 2-WQv Calculation'!$B$4="","",'STEP 2-WQv Calculation'!$B$4)</f>
        <v/>
      </c>
      <c r="C76" s="4"/>
      <c r="D76" s="4"/>
      <c r="E76" s="4"/>
      <c r="F76" s="4"/>
      <c r="G76" s="4"/>
      <c r="H76" s="4"/>
    </row>
    <row r="77" spans="1:8" ht="14.5" customHeight="1" x14ac:dyDescent="0.35">
      <c r="A77" s="273" t="s">
        <v>243</v>
      </c>
      <c r="B77" s="273"/>
      <c r="C77" s="273"/>
      <c r="D77" s="273"/>
      <c r="E77" s="273"/>
      <c r="F77" s="273"/>
      <c r="G77" s="273"/>
      <c r="H77" s="273"/>
    </row>
    <row r="78" spans="1:8" ht="38.5" x14ac:dyDescent="0.35">
      <c r="A78" s="204" t="s">
        <v>60</v>
      </c>
      <c r="B78" s="205" t="s">
        <v>61</v>
      </c>
      <c r="C78" s="205" t="s">
        <v>62</v>
      </c>
      <c r="D78" s="205" t="s">
        <v>63</v>
      </c>
      <c r="E78" s="205" t="s">
        <v>64</v>
      </c>
      <c r="F78" s="205" t="s">
        <v>65</v>
      </c>
      <c r="G78" s="205" t="s">
        <v>244</v>
      </c>
      <c r="H78" s="206" t="s">
        <v>13</v>
      </c>
    </row>
    <row r="79" spans="1:8" x14ac:dyDescent="0.35">
      <c r="A79" s="218"/>
      <c r="B79" s="3" t="str">
        <f>IF($A79="","",(LOOKUP($A79,'STEP 2-WQv Calculation'!$A$8:$A$37,'STEP 2-WQv Calculation'!$B$8:$B$37)))</f>
        <v/>
      </c>
      <c r="C79" s="3" t="str">
        <f>IF($A79="","",(LOOKUP($A79,'STEP 2-WQv Calculation'!$A$8:$A$37,'STEP 2-WQv Calculation'!$C$8:$C$37)))</f>
        <v/>
      </c>
      <c r="D79" s="212" t="str">
        <f>IF($A79="","",(LOOKUP($A79,'STEP 2-WQv Calculation'!$A$8:$A$37,'STEP 2-WQv Calculation'!$D$8:$D$37)))</f>
        <v/>
      </c>
      <c r="E79" s="3" t="str">
        <f>IF($A79="","",(LOOKUP($A79,'STEP 2-WQv Calculation'!$A$8:$A$37,'STEP 2-WQv Calculation'!$E$8:$E$37)))</f>
        <v/>
      </c>
      <c r="F79" s="217" t="str">
        <f>IF($A79="","",(LOOKUP($A79,'STEP 2-WQv Calculation'!$A$8:$A$37,'STEP 2-WQv Calculation'!$F$8:$F$37)))</f>
        <v/>
      </c>
      <c r="G79" s="22">
        <f>'STEP 2-WQv Calculation'!B5</f>
        <v>0</v>
      </c>
      <c r="H79" s="198" t="str">
        <f>IF($A79="","",(LOOKUP($A79,'STEP 2-WQv Calculation'!$A$8:$A$37,'STEP 2-WQv Calculation'!$G$8:$G$37)))</f>
        <v/>
      </c>
    </row>
    <row r="80" spans="1:8" ht="14.5" customHeight="1" x14ac:dyDescent="0.35">
      <c r="A80" s="273" t="s">
        <v>226</v>
      </c>
      <c r="B80" s="273"/>
      <c r="C80" s="273"/>
      <c r="D80" s="273"/>
      <c r="E80" s="273"/>
      <c r="F80" s="273"/>
      <c r="G80" s="273"/>
      <c r="H80" s="273"/>
    </row>
    <row r="81" spans="1:8" ht="30.75" customHeight="1" x14ac:dyDescent="0.35">
      <c r="A81" s="325" t="s">
        <v>277</v>
      </c>
      <c r="B81" s="326"/>
      <c r="C81" s="327"/>
      <c r="D81" s="196" t="str">
        <f>IF(B79="","",IF((D96*D97)&gt;=(C79*43560),"No","Yes"))</f>
        <v/>
      </c>
      <c r="E81" s="322" t="str">
        <f>IF(D81="Yes","Does not meet design criteria","")</f>
        <v/>
      </c>
      <c r="F81" s="323"/>
      <c r="G81" s="323"/>
      <c r="H81" s="324"/>
    </row>
    <row r="82" spans="1:8" ht="28.5" customHeight="1" x14ac:dyDescent="0.35">
      <c r="A82" s="245" t="s">
        <v>247</v>
      </c>
      <c r="B82" s="245"/>
      <c r="C82" s="245"/>
      <c r="D82" s="211"/>
      <c r="E82" s="322" t="str">
        <f>IF(D82="","This practice cannot be used for hotspot treatment",IF(D82="Yes","Does not meet design criteria",""))</f>
        <v>This practice cannot be used for hotspot treatment</v>
      </c>
      <c r="F82" s="323"/>
      <c r="G82" s="323"/>
      <c r="H82" s="324"/>
    </row>
    <row r="83" spans="1:8" ht="30" customHeight="1" x14ac:dyDescent="0.35">
      <c r="A83" s="245" t="s">
        <v>278</v>
      </c>
      <c r="B83" s="245"/>
      <c r="C83" s="245"/>
      <c r="D83" s="211"/>
      <c r="E83" s="322" t="str">
        <f>IF(D83="Yes","Does not meet design criteria","")</f>
        <v/>
      </c>
      <c r="F83" s="323"/>
      <c r="G83" s="323"/>
      <c r="H83" s="324"/>
    </row>
    <row r="84" spans="1:8" ht="14.5" customHeight="1" x14ac:dyDescent="0.35">
      <c r="A84" s="245" t="s">
        <v>279</v>
      </c>
      <c r="B84" s="245"/>
      <c r="C84" s="245"/>
      <c r="D84" s="209"/>
      <c r="E84" s="322" t="str">
        <f>IF(D84&gt;10,"Does not meet design criteria","")</f>
        <v/>
      </c>
      <c r="F84" s="323"/>
      <c r="G84" s="323"/>
      <c r="H84" s="324"/>
    </row>
    <row r="85" spans="1:8" ht="14.5" customHeight="1" x14ac:dyDescent="0.35">
      <c r="A85" s="245" t="s">
        <v>280</v>
      </c>
      <c r="B85" s="245"/>
      <c r="C85" s="245"/>
      <c r="D85" s="211"/>
      <c r="E85" s="322"/>
      <c r="F85" s="323"/>
      <c r="G85" s="323"/>
      <c r="H85" s="324"/>
    </row>
    <row r="86" spans="1:8" ht="14.5" customHeight="1" x14ac:dyDescent="0.35">
      <c r="A86" s="245" t="s">
        <v>281</v>
      </c>
      <c r="B86" s="245"/>
      <c r="C86" s="245"/>
      <c r="D86" s="328"/>
      <c r="E86" s="316" t="str">
        <f>IF(D86&gt;10,"Does not meet design criteria","")</f>
        <v/>
      </c>
      <c r="F86" s="317"/>
      <c r="G86" s="317"/>
      <c r="H86" s="318"/>
    </row>
    <row r="87" spans="1:8" ht="27.75" customHeight="1" x14ac:dyDescent="0.35">
      <c r="A87" s="245"/>
      <c r="B87" s="245"/>
      <c r="C87" s="245"/>
      <c r="D87" s="329"/>
      <c r="E87" s="319"/>
      <c r="F87" s="320"/>
      <c r="G87" s="320"/>
      <c r="H87" s="321"/>
    </row>
    <row r="88" spans="1:8" ht="29.25" customHeight="1" x14ac:dyDescent="0.35">
      <c r="A88" s="245" t="s">
        <v>282</v>
      </c>
      <c r="B88" s="245"/>
      <c r="C88" s="245"/>
      <c r="D88" s="211"/>
      <c r="E88" s="322"/>
      <c r="F88" s="323"/>
      <c r="G88" s="323"/>
      <c r="H88" s="324"/>
    </row>
    <row r="89" spans="1:8" ht="42" customHeight="1" x14ac:dyDescent="0.35">
      <c r="A89" s="242" t="s">
        <v>283</v>
      </c>
      <c r="B89" s="243"/>
      <c r="C89" s="244"/>
      <c r="D89" s="59"/>
      <c r="E89" s="322" t="str">
        <f>IF(D89&gt;20,"Does not meet design criteria","")</f>
        <v/>
      </c>
      <c r="F89" s="323"/>
      <c r="G89" s="323"/>
      <c r="H89" s="324"/>
    </row>
    <row r="90" spans="1:8" ht="14.5" customHeight="1" x14ac:dyDescent="0.35">
      <c r="A90" s="242" t="s">
        <v>284</v>
      </c>
      <c r="B90" s="243"/>
      <c r="C90" s="244"/>
      <c r="D90" s="59"/>
      <c r="E90" s="322" t="str">
        <f>IF(D90&gt;6,"Does not meet design criteria","")</f>
        <v/>
      </c>
      <c r="F90" s="323"/>
      <c r="G90" s="323"/>
      <c r="H90" s="324"/>
    </row>
    <row r="91" spans="1:8" ht="14.5" customHeight="1" x14ac:dyDescent="0.35">
      <c r="A91" s="242" t="s">
        <v>285</v>
      </c>
      <c r="B91" s="243"/>
      <c r="C91" s="244"/>
      <c r="D91" s="59"/>
      <c r="E91" s="322" t="str">
        <f>IF(D91&lt;3,"Does not meet design criteria","")</f>
        <v>Does not meet design criteria</v>
      </c>
      <c r="F91" s="323"/>
      <c r="G91" s="323"/>
      <c r="H91" s="324"/>
    </row>
    <row r="92" spans="1:8" ht="14.5" customHeight="1" x14ac:dyDescent="0.35">
      <c r="A92" s="242" t="s">
        <v>286</v>
      </c>
      <c r="B92" s="243"/>
      <c r="C92" s="244"/>
      <c r="D92" s="59"/>
      <c r="E92" s="322" t="str">
        <f>IF(D92="","",IF(D92&lt;36,"Does not meet design criteria",""))</f>
        <v/>
      </c>
      <c r="F92" s="323"/>
      <c r="G92" s="323"/>
      <c r="H92" s="324"/>
    </row>
    <row r="93" spans="1:8" ht="14.5" customHeight="1" x14ac:dyDescent="0.35">
      <c r="A93" s="242" t="s">
        <v>287</v>
      </c>
      <c r="B93" s="243"/>
      <c r="C93" s="244"/>
      <c r="D93" s="59"/>
      <c r="E93" s="322" t="str">
        <f>IF(D93="","",IF(D93&lt;5,"Does not meet design criteria",""))</f>
        <v/>
      </c>
      <c r="F93" s="323"/>
      <c r="G93" s="323"/>
      <c r="H93" s="324"/>
    </row>
    <row r="94" spans="1:8" ht="14.5" customHeight="1" x14ac:dyDescent="0.35">
      <c r="A94" s="242" t="s">
        <v>288</v>
      </c>
      <c r="B94" s="243"/>
      <c r="C94" s="244"/>
      <c r="D94" s="59"/>
      <c r="E94" s="322" t="str">
        <f>IF(D94="","",IF(D94&lt;5,"Does not meet design criteria",""))</f>
        <v/>
      </c>
      <c r="F94" s="323"/>
      <c r="G94" s="323"/>
      <c r="H94" s="324"/>
    </row>
    <row r="95" spans="1:8" ht="14.5" customHeight="1" x14ac:dyDescent="0.35">
      <c r="A95" s="242" t="s">
        <v>289</v>
      </c>
      <c r="B95" s="243"/>
      <c r="C95" s="244"/>
      <c r="D95" s="59"/>
      <c r="E95" s="322"/>
      <c r="F95" s="323"/>
      <c r="G95" s="323"/>
      <c r="H95" s="324"/>
    </row>
    <row r="96" spans="1:8" ht="14.5" customHeight="1" x14ac:dyDescent="0.35">
      <c r="A96" s="242" t="s">
        <v>290</v>
      </c>
      <c r="B96" s="243"/>
      <c r="C96" s="244"/>
      <c r="D96" s="134">
        <f>IF(D95&lt;16,3.14*D95^2/4/2,IF(D95&gt;=16,100))</f>
        <v>0</v>
      </c>
      <c r="E96" s="322"/>
      <c r="F96" s="323"/>
      <c r="G96" s="323"/>
      <c r="H96" s="324"/>
    </row>
    <row r="97" spans="1:8" ht="14.5" customHeight="1" x14ac:dyDescent="0.35">
      <c r="A97" s="242" t="s">
        <v>291</v>
      </c>
      <c r="B97" s="243"/>
      <c r="C97" s="244"/>
      <c r="D97" s="59"/>
      <c r="E97" s="322"/>
      <c r="F97" s="323"/>
      <c r="G97" s="323"/>
      <c r="H97" s="324"/>
    </row>
    <row r="98" spans="1:8" ht="14.5" customHeight="1" x14ac:dyDescent="0.35">
      <c r="A98" s="242" t="s">
        <v>292</v>
      </c>
      <c r="B98" s="243"/>
      <c r="C98" s="244"/>
      <c r="D98" s="134">
        <f>D96*D97</f>
        <v>0</v>
      </c>
      <c r="E98" s="322"/>
      <c r="F98" s="323"/>
      <c r="G98" s="323"/>
      <c r="H98" s="324"/>
    </row>
    <row r="99" spans="1:8" ht="14.5" customHeight="1" x14ac:dyDescent="0.35">
      <c r="A99" s="236" t="s">
        <v>276</v>
      </c>
      <c r="B99" s="237"/>
      <c r="C99" s="237"/>
      <c r="D99" s="237"/>
      <c r="E99" s="237"/>
      <c r="F99" s="237"/>
      <c r="G99" s="237"/>
      <c r="H99" s="238"/>
    </row>
    <row r="100" spans="1:8" x14ac:dyDescent="0.35">
      <c r="A100" s="239" t="s">
        <v>241</v>
      </c>
      <c r="B100" s="239"/>
      <c r="C100" s="9" t="str">
        <f>IF(F79="","",IF(B79="",0,IF(D81="YES",0,IF(D82="YES",0,IF(D83="YES",0,IF(D84&gt;10,0,IF(D86&gt;10,0,IF(D89&gt;20,0,IF(D90&gt;6,0,IF(D91&lt;3,0,IF(D92&lt;36,0,IF(D93&lt;5,0,IF(D94&lt;5,0,F79)))))))))))))</f>
        <v/>
      </c>
      <c r="D100" s="240" t="s">
        <v>2</v>
      </c>
      <c r="E100" s="240"/>
      <c r="F100" s="240"/>
      <c r="G100" s="240"/>
      <c r="H100" s="240"/>
    </row>
    <row r="101" spans="1:8" x14ac:dyDescent="0.35">
      <c r="A101" s="16" t="s">
        <v>56</v>
      </c>
      <c r="B101" s="225" t="str">
        <f>IF('STEP 2-WQv Calculation'!$B$4="","",'STEP 2-WQv Calculation'!$B$4)</f>
        <v/>
      </c>
      <c r="C101" s="4"/>
      <c r="D101" s="4"/>
      <c r="E101" s="4"/>
      <c r="F101" s="4"/>
      <c r="G101" s="4"/>
      <c r="H101" s="4"/>
    </row>
    <row r="102" spans="1:8" ht="14.5" customHeight="1" x14ac:dyDescent="0.35">
      <c r="A102" s="273" t="s">
        <v>243</v>
      </c>
      <c r="B102" s="273"/>
      <c r="C102" s="273"/>
      <c r="D102" s="273"/>
      <c r="E102" s="273"/>
      <c r="F102" s="273"/>
      <c r="G102" s="273"/>
      <c r="H102" s="273"/>
    </row>
    <row r="103" spans="1:8" ht="38.5" x14ac:dyDescent="0.35">
      <c r="A103" s="204" t="s">
        <v>60</v>
      </c>
      <c r="B103" s="205" t="s">
        <v>61</v>
      </c>
      <c r="C103" s="205" t="s">
        <v>62</v>
      </c>
      <c r="D103" s="205" t="s">
        <v>63</v>
      </c>
      <c r="E103" s="205" t="s">
        <v>64</v>
      </c>
      <c r="F103" s="205" t="s">
        <v>65</v>
      </c>
      <c r="G103" s="205" t="s">
        <v>244</v>
      </c>
      <c r="H103" s="206" t="s">
        <v>13</v>
      </c>
    </row>
    <row r="104" spans="1:8" x14ac:dyDescent="0.35">
      <c r="A104" s="218"/>
      <c r="B104" s="3" t="str">
        <f>IF($A104="","",(LOOKUP($A104,'STEP 2-WQv Calculation'!$A$8:$A$37,'STEP 2-WQv Calculation'!$B$8:$B$37)))</f>
        <v/>
      </c>
      <c r="C104" s="3" t="str">
        <f>IF($A104="","",(LOOKUP($A104,'STEP 2-WQv Calculation'!$A$8:$A$37,'STEP 2-WQv Calculation'!$C$8:$C$37)))</f>
        <v/>
      </c>
      <c r="D104" s="212" t="str">
        <f>IF($A104="","",(LOOKUP($A104,'STEP 2-WQv Calculation'!$A$8:$A$37,'STEP 2-WQv Calculation'!$D$8:$D$37)))</f>
        <v/>
      </c>
      <c r="E104" s="3" t="str">
        <f>IF($A104="","",(LOOKUP($A104,'STEP 2-WQv Calculation'!$A$8:$A$37,'STEP 2-WQv Calculation'!$E$8:$E$37)))</f>
        <v/>
      </c>
      <c r="F104" s="217" t="str">
        <f>IF($A104="","",(LOOKUP($A104,'STEP 2-WQv Calculation'!$A$8:$A$37,'STEP 2-WQv Calculation'!$F$8:$F$37)))</f>
        <v/>
      </c>
      <c r="G104" s="22">
        <f>'STEP 2-WQv Calculation'!B5</f>
        <v>0</v>
      </c>
      <c r="H104" s="198" t="str">
        <f>IF($A104="","",(LOOKUP($A104,'STEP 2-WQv Calculation'!$A$8:$A$37,'STEP 2-WQv Calculation'!$G$8:$G$37)))</f>
        <v/>
      </c>
    </row>
    <row r="105" spans="1:8" ht="14.5" customHeight="1" x14ac:dyDescent="0.35">
      <c r="A105" s="273" t="s">
        <v>226</v>
      </c>
      <c r="B105" s="273"/>
      <c r="C105" s="273"/>
      <c r="D105" s="273"/>
      <c r="E105" s="273"/>
      <c r="F105" s="273"/>
      <c r="G105" s="273"/>
      <c r="H105" s="273"/>
    </row>
    <row r="106" spans="1:8" ht="27.75" customHeight="1" x14ac:dyDescent="0.35">
      <c r="A106" s="325" t="s">
        <v>277</v>
      </c>
      <c r="B106" s="326"/>
      <c r="C106" s="327"/>
      <c r="D106" s="196" t="str">
        <f>IF(B104="","",IF((D121*D122)&gt;=(C104*43560),"No","Yes"))</f>
        <v/>
      </c>
      <c r="E106" s="322" t="str">
        <f>IF(D106="Yes","Does not meet design criteria","")</f>
        <v/>
      </c>
      <c r="F106" s="323"/>
      <c r="G106" s="323"/>
      <c r="H106" s="324"/>
    </row>
    <row r="107" spans="1:8" ht="28.5" customHeight="1" x14ac:dyDescent="0.35">
      <c r="A107" s="245" t="s">
        <v>247</v>
      </c>
      <c r="B107" s="245"/>
      <c r="C107" s="245"/>
      <c r="D107" s="211"/>
      <c r="E107" s="322" t="str">
        <f>IF(D107="","This practice cannot be used for hotspot treatment",IF(D107="Yes","Does not meet design criteria",""))</f>
        <v>This practice cannot be used for hotspot treatment</v>
      </c>
      <c r="F107" s="323"/>
      <c r="G107" s="323"/>
      <c r="H107" s="324"/>
    </row>
    <row r="108" spans="1:8" ht="27" customHeight="1" x14ac:dyDescent="0.35">
      <c r="A108" s="245" t="s">
        <v>278</v>
      </c>
      <c r="B108" s="245"/>
      <c r="C108" s="245"/>
      <c r="D108" s="211"/>
      <c r="E108" s="322" t="str">
        <f>IF(D108="Yes","Does not meet design criteria","")</f>
        <v/>
      </c>
      <c r="F108" s="323"/>
      <c r="G108" s="323"/>
      <c r="H108" s="324"/>
    </row>
    <row r="109" spans="1:8" ht="14.5" customHeight="1" x14ac:dyDescent="0.35">
      <c r="A109" s="245" t="s">
        <v>279</v>
      </c>
      <c r="B109" s="245"/>
      <c r="C109" s="245"/>
      <c r="D109" s="209"/>
      <c r="E109" s="322" t="str">
        <f>IF(D109&gt;10,"Does not meet design criteria","")</f>
        <v/>
      </c>
      <c r="F109" s="323"/>
      <c r="G109" s="323"/>
      <c r="H109" s="324"/>
    </row>
    <row r="110" spans="1:8" ht="14.5" customHeight="1" x14ac:dyDescent="0.35">
      <c r="A110" s="245" t="s">
        <v>280</v>
      </c>
      <c r="B110" s="245"/>
      <c r="C110" s="245"/>
      <c r="D110" s="211"/>
      <c r="E110" s="322"/>
      <c r="F110" s="323"/>
      <c r="G110" s="323"/>
      <c r="H110" s="324"/>
    </row>
    <row r="111" spans="1:8" ht="14.5" customHeight="1" x14ac:dyDescent="0.35">
      <c r="A111" s="245" t="s">
        <v>281</v>
      </c>
      <c r="B111" s="245"/>
      <c r="C111" s="245"/>
      <c r="D111" s="328"/>
      <c r="E111" s="316" t="str">
        <f>IF(D111&gt;10,"Does not meet design criteria","")</f>
        <v/>
      </c>
      <c r="F111" s="317"/>
      <c r="G111" s="317"/>
      <c r="H111" s="318"/>
    </row>
    <row r="112" spans="1:8" ht="27" customHeight="1" x14ac:dyDescent="0.35">
      <c r="A112" s="245"/>
      <c r="B112" s="245"/>
      <c r="C112" s="245"/>
      <c r="D112" s="329"/>
      <c r="E112" s="319"/>
      <c r="F112" s="320"/>
      <c r="G112" s="320"/>
      <c r="H112" s="321"/>
    </row>
    <row r="113" spans="1:8" ht="26.25" customHeight="1" x14ac:dyDescent="0.35">
      <c r="A113" s="245" t="s">
        <v>282</v>
      </c>
      <c r="B113" s="245"/>
      <c r="C113" s="245"/>
      <c r="D113" s="211"/>
      <c r="E113" s="322"/>
      <c r="F113" s="323"/>
      <c r="G113" s="323"/>
      <c r="H113" s="324"/>
    </row>
    <row r="114" spans="1:8" ht="42.75" customHeight="1" x14ac:dyDescent="0.35">
      <c r="A114" s="242" t="s">
        <v>283</v>
      </c>
      <c r="B114" s="243"/>
      <c r="C114" s="244"/>
      <c r="D114" s="59"/>
      <c r="E114" s="322" t="str">
        <f>IF(D114&gt;20,"Does not meet design criteria","")</f>
        <v/>
      </c>
      <c r="F114" s="323"/>
      <c r="G114" s="323"/>
      <c r="H114" s="324"/>
    </row>
    <row r="115" spans="1:8" ht="14.5" customHeight="1" x14ac:dyDescent="0.35">
      <c r="A115" s="242" t="s">
        <v>284</v>
      </c>
      <c r="B115" s="243"/>
      <c r="C115" s="244"/>
      <c r="D115" s="59"/>
      <c r="E115" s="322" t="str">
        <f>IF(D115&gt;6,"Does not meet design criteria","")</f>
        <v/>
      </c>
      <c r="F115" s="323"/>
      <c r="G115" s="323"/>
      <c r="H115" s="324"/>
    </row>
    <row r="116" spans="1:8" ht="14.5" customHeight="1" x14ac:dyDescent="0.35">
      <c r="A116" s="242" t="s">
        <v>285</v>
      </c>
      <c r="B116" s="243"/>
      <c r="C116" s="244"/>
      <c r="D116" s="59"/>
      <c r="E116" s="322" t="str">
        <f>IF(D116&gt;3,"Does not meet design criteria","")</f>
        <v/>
      </c>
      <c r="F116" s="323"/>
      <c r="G116" s="323"/>
      <c r="H116" s="324"/>
    </row>
    <row r="117" spans="1:8" ht="14.5" customHeight="1" x14ac:dyDescent="0.35">
      <c r="A117" s="242" t="s">
        <v>286</v>
      </c>
      <c r="B117" s="243"/>
      <c r="C117" s="244"/>
      <c r="D117" s="59"/>
      <c r="E117" s="322" t="str">
        <f>IF(D117="","",IF(D117&lt;36,"Does not meet design criteria",""))</f>
        <v/>
      </c>
      <c r="F117" s="323"/>
      <c r="G117" s="323"/>
      <c r="H117" s="324"/>
    </row>
    <row r="118" spans="1:8" ht="14.5" customHeight="1" x14ac:dyDescent="0.35">
      <c r="A118" s="242" t="s">
        <v>287</v>
      </c>
      <c r="B118" s="243"/>
      <c r="C118" s="244"/>
      <c r="D118" s="59"/>
      <c r="E118" s="322" t="str">
        <f>IF(D118="","",IF(D118&lt;5,"Does not meet design criteria",""))</f>
        <v/>
      </c>
      <c r="F118" s="323"/>
      <c r="G118" s="323"/>
      <c r="H118" s="324"/>
    </row>
    <row r="119" spans="1:8" ht="14.5" customHeight="1" x14ac:dyDescent="0.35">
      <c r="A119" s="242" t="s">
        <v>288</v>
      </c>
      <c r="B119" s="243"/>
      <c r="C119" s="244"/>
      <c r="D119" s="59"/>
      <c r="E119" s="322" t="str">
        <f>IF(D119="","",IF(D119&lt;5,"Does not meet design criteria",""))</f>
        <v/>
      </c>
      <c r="F119" s="323"/>
      <c r="G119" s="323"/>
      <c r="H119" s="324"/>
    </row>
    <row r="120" spans="1:8" ht="14.5" customHeight="1" x14ac:dyDescent="0.35">
      <c r="A120" s="242" t="s">
        <v>289</v>
      </c>
      <c r="B120" s="243"/>
      <c r="C120" s="244"/>
      <c r="D120" s="59"/>
      <c r="E120" s="322"/>
      <c r="F120" s="323"/>
      <c r="G120" s="323"/>
      <c r="H120" s="324"/>
    </row>
    <row r="121" spans="1:8" ht="14.5" customHeight="1" x14ac:dyDescent="0.35">
      <c r="A121" s="242" t="s">
        <v>290</v>
      </c>
      <c r="B121" s="243"/>
      <c r="C121" s="244"/>
      <c r="D121" s="134">
        <f>IF(D120&lt;16,3.14*D120^2/4/2,IF(D120&gt;=16,100))</f>
        <v>0</v>
      </c>
      <c r="E121" s="322"/>
      <c r="F121" s="323"/>
      <c r="G121" s="323"/>
      <c r="H121" s="324"/>
    </row>
    <row r="122" spans="1:8" ht="14.5" customHeight="1" x14ac:dyDescent="0.35">
      <c r="A122" s="242" t="s">
        <v>291</v>
      </c>
      <c r="B122" s="243"/>
      <c r="C122" s="244"/>
      <c r="D122" s="59"/>
      <c r="E122" s="322"/>
      <c r="F122" s="323"/>
      <c r="G122" s="323"/>
      <c r="H122" s="324"/>
    </row>
    <row r="123" spans="1:8" ht="14.5" customHeight="1" x14ac:dyDescent="0.35">
      <c r="A123" s="242" t="s">
        <v>292</v>
      </c>
      <c r="B123" s="243"/>
      <c r="C123" s="244"/>
      <c r="D123" s="134">
        <f>D121*D122</f>
        <v>0</v>
      </c>
      <c r="E123" s="322"/>
      <c r="F123" s="323"/>
      <c r="G123" s="323"/>
      <c r="H123" s="324"/>
    </row>
    <row r="124" spans="1:8" ht="14.5" customHeight="1" x14ac:dyDescent="0.35">
      <c r="A124" s="236" t="s">
        <v>276</v>
      </c>
      <c r="B124" s="237"/>
      <c r="C124" s="237"/>
      <c r="D124" s="237"/>
      <c r="E124" s="237"/>
      <c r="F124" s="237"/>
      <c r="G124" s="237"/>
      <c r="H124" s="238"/>
    </row>
    <row r="125" spans="1:8" x14ac:dyDescent="0.35">
      <c r="A125" s="239" t="s">
        <v>241</v>
      </c>
      <c r="B125" s="239"/>
      <c r="C125" s="9" t="str">
        <f>IF(F104="","",IF(B104="",0,IF(D106="YES",0,IF(D107="YES",0,IF(D108="YES",0,IF(D109&gt;10,0,IF(D111&gt;10,0,IF(D114&gt;20,0,IF(D115&gt;6,0,IF(D116&lt;3,0,IF(D117&lt;36,0,IF(D118&lt;5,0,IF(D119&lt;5,0,F104)))))))))))))</f>
        <v/>
      </c>
      <c r="D125" s="240" t="s">
        <v>2</v>
      </c>
      <c r="E125" s="240"/>
      <c r="F125" s="240"/>
      <c r="G125" s="240"/>
      <c r="H125" s="240"/>
    </row>
    <row r="126" spans="1:8" x14ac:dyDescent="0.35">
      <c r="A126" s="16" t="s">
        <v>56</v>
      </c>
      <c r="B126" s="225" t="str">
        <f>IF('STEP 2-WQv Calculation'!$B$4="","",'STEP 2-WQv Calculation'!$B$4)</f>
        <v/>
      </c>
      <c r="C126" s="4"/>
      <c r="D126" s="4"/>
      <c r="E126" s="4"/>
      <c r="F126" s="4"/>
      <c r="G126" s="4"/>
      <c r="H126" s="4"/>
    </row>
    <row r="127" spans="1:8" x14ac:dyDescent="0.35">
      <c r="A127" s="273" t="s">
        <v>243</v>
      </c>
      <c r="B127" s="273"/>
      <c r="C127" s="273"/>
      <c r="D127" s="273"/>
      <c r="E127" s="273"/>
      <c r="F127" s="273"/>
      <c r="G127" s="273"/>
      <c r="H127" s="273"/>
    </row>
    <row r="128" spans="1:8" ht="38.5" x14ac:dyDescent="0.35">
      <c r="A128" s="204" t="s">
        <v>60</v>
      </c>
      <c r="B128" s="205" t="s">
        <v>61</v>
      </c>
      <c r="C128" s="205" t="s">
        <v>62</v>
      </c>
      <c r="D128" s="205" t="s">
        <v>63</v>
      </c>
      <c r="E128" s="205" t="s">
        <v>64</v>
      </c>
      <c r="F128" s="205" t="s">
        <v>65</v>
      </c>
      <c r="G128" s="205" t="s">
        <v>244</v>
      </c>
      <c r="H128" s="206" t="s">
        <v>13</v>
      </c>
    </row>
    <row r="129" spans="1:8" x14ac:dyDescent="0.35">
      <c r="A129" s="218"/>
      <c r="B129" s="3" t="str">
        <f>IF($A129="","",(LOOKUP($A129,'STEP 2-WQv Calculation'!$A$8:$A$37,'STEP 2-WQv Calculation'!$B$8:$B$37)))</f>
        <v/>
      </c>
      <c r="C129" s="3" t="str">
        <f>IF($A129="","",(LOOKUP($A129,'STEP 2-WQv Calculation'!$A$8:$A$37,'STEP 2-WQv Calculation'!$C$8:$C$37)))</f>
        <v/>
      </c>
      <c r="D129" s="212" t="str">
        <f>IF($A129="","",(LOOKUP($A129,'STEP 2-WQv Calculation'!$A$8:$A$37,'STEP 2-WQv Calculation'!$D$8:$D$37)))</f>
        <v/>
      </c>
      <c r="E129" s="3" t="str">
        <f>IF($A129="","",(LOOKUP($A129,'STEP 2-WQv Calculation'!$A$8:$A$37,'STEP 2-WQv Calculation'!$E$8:$E$37)))</f>
        <v/>
      </c>
      <c r="F129" s="217" t="str">
        <f>IF($A129="","",(LOOKUP($A129,'STEP 2-WQv Calculation'!$A$8:$A$37,'STEP 2-WQv Calculation'!$F$8:$F$37)))</f>
        <v/>
      </c>
      <c r="G129" s="22">
        <f>'STEP 2-WQv Calculation'!B30</f>
        <v>0</v>
      </c>
      <c r="H129" s="198" t="str">
        <f>IF($A129="","",(LOOKUP($A129,'STEP 2-WQv Calculation'!$A$8:$A$37,'STEP 2-WQv Calculation'!$G$8:$G$37)))</f>
        <v/>
      </c>
    </row>
    <row r="130" spans="1:8" x14ac:dyDescent="0.35">
      <c r="A130" s="273" t="s">
        <v>226</v>
      </c>
      <c r="B130" s="273"/>
      <c r="C130" s="273"/>
      <c r="D130" s="273"/>
      <c r="E130" s="273"/>
      <c r="F130" s="273"/>
      <c r="G130" s="273"/>
      <c r="H130" s="273"/>
    </row>
    <row r="131" spans="1:8" x14ac:dyDescent="0.35">
      <c r="A131" s="325" t="s">
        <v>277</v>
      </c>
      <c r="B131" s="326"/>
      <c r="C131" s="327"/>
      <c r="D131" s="196" t="str">
        <f>IF(B129="","",IF((D146*D147)&gt;=(C129*43560),"No","Yes"))</f>
        <v/>
      </c>
      <c r="E131" s="322" t="str">
        <f>IF(D131="Yes","Does not meet design criteria","")</f>
        <v/>
      </c>
      <c r="F131" s="323"/>
      <c r="G131" s="323"/>
      <c r="H131" s="324"/>
    </row>
    <row r="132" spans="1:8" x14ac:dyDescent="0.35">
      <c r="A132" s="245" t="s">
        <v>247</v>
      </c>
      <c r="B132" s="245"/>
      <c r="C132" s="245"/>
      <c r="D132" s="211"/>
      <c r="E132" s="322" t="str">
        <f>IF(D132="","This practice cannot be used for hotspot treatment",IF(D132="Yes","Does not meet design criteria",""))</f>
        <v>This practice cannot be used for hotspot treatment</v>
      </c>
      <c r="F132" s="323"/>
      <c r="G132" s="323"/>
      <c r="H132" s="324"/>
    </row>
    <row r="133" spans="1:8" x14ac:dyDescent="0.35">
      <c r="A133" s="245" t="s">
        <v>278</v>
      </c>
      <c r="B133" s="245"/>
      <c r="C133" s="245"/>
      <c r="D133" s="211"/>
      <c r="E133" s="322" t="str">
        <f>IF(D133="Yes","Does not meet design criteria","")</f>
        <v/>
      </c>
      <c r="F133" s="323"/>
      <c r="G133" s="323"/>
      <c r="H133" s="324"/>
    </row>
    <row r="134" spans="1:8" x14ac:dyDescent="0.35">
      <c r="A134" s="245" t="s">
        <v>279</v>
      </c>
      <c r="B134" s="245"/>
      <c r="C134" s="245"/>
      <c r="D134" s="209"/>
      <c r="E134" s="322" t="str">
        <f>IF(D134&gt;10,"Does not meet design criteria","")</f>
        <v/>
      </c>
      <c r="F134" s="323"/>
      <c r="G134" s="323"/>
      <c r="H134" s="324"/>
    </row>
    <row r="135" spans="1:8" x14ac:dyDescent="0.35">
      <c r="A135" s="245" t="s">
        <v>280</v>
      </c>
      <c r="B135" s="245"/>
      <c r="C135" s="245"/>
      <c r="D135" s="211"/>
      <c r="E135" s="322"/>
      <c r="F135" s="323"/>
      <c r="G135" s="323"/>
      <c r="H135" s="324"/>
    </row>
    <row r="136" spans="1:8" x14ac:dyDescent="0.35">
      <c r="A136" s="245" t="s">
        <v>281</v>
      </c>
      <c r="B136" s="245"/>
      <c r="C136" s="245"/>
      <c r="D136" s="328"/>
      <c r="E136" s="316" t="str">
        <f>IF(D136&gt;10,"Does not meet design criteria","")</f>
        <v/>
      </c>
      <c r="F136" s="317"/>
      <c r="G136" s="317"/>
      <c r="H136" s="318"/>
    </row>
    <row r="137" spans="1:8" x14ac:dyDescent="0.35">
      <c r="A137" s="245"/>
      <c r="B137" s="245"/>
      <c r="C137" s="245"/>
      <c r="D137" s="329"/>
      <c r="E137" s="319"/>
      <c r="F137" s="320"/>
      <c r="G137" s="320"/>
      <c r="H137" s="321"/>
    </row>
    <row r="138" spans="1:8" x14ac:dyDescent="0.35">
      <c r="A138" s="245" t="s">
        <v>282</v>
      </c>
      <c r="B138" s="245"/>
      <c r="C138" s="245"/>
      <c r="D138" s="211"/>
      <c r="E138" s="322"/>
      <c r="F138" s="323"/>
      <c r="G138" s="323"/>
      <c r="H138" s="324"/>
    </row>
    <row r="139" spans="1:8" x14ac:dyDescent="0.35">
      <c r="A139" s="242" t="s">
        <v>283</v>
      </c>
      <c r="B139" s="243"/>
      <c r="C139" s="244"/>
      <c r="D139" s="59"/>
      <c r="E139" s="322" t="str">
        <f>IF(D139&gt;20,"Does not meet design criteria","")</f>
        <v/>
      </c>
      <c r="F139" s="323"/>
      <c r="G139" s="323"/>
      <c r="H139" s="324"/>
    </row>
    <row r="140" spans="1:8" x14ac:dyDescent="0.35">
      <c r="A140" s="242" t="s">
        <v>284</v>
      </c>
      <c r="B140" s="243"/>
      <c r="C140" s="244"/>
      <c r="D140" s="59"/>
      <c r="E140" s="322" t="str">
        <f>IF(D140&gt;6,"Does not meet design criteria","")</f>
        <v/>
      </c>
      <c r="F140" s="323"/>
      <c r="G140" s="323"/>
      <c r="H140" s="324"/>
    </row>
    <row r="141" spans="1:8" x14ac:dyDescent="0.35">
      <c r="A141" s="242" t="s">
        <v>285</v>
      </c>
      <c r="B141" s="243"/>
      <c r="C141" s="244"/>
      <c r="D141" s="59"/>
      <c r="E141" s="322" t="str">
        <f>IF(D141&gt;3,"Does not meet design criteria","")</f>
        <v/>
      </c>
      <c r="F141" s="323"/>
      <c r="G141" s="323"/>
      <c r="H141" s="324"/>
    </row>
    <row r="142" spans="1:8" x14ac:dyDescent="0.35">
      <c r="A142" s="242" t="s">
        <v>286</v>
      </c>
      <c r="B142" s="243"/>
      <c r="C142" s="244"/>
      <c r="D142" s="59"/>
      <c r="E142" s="322" t="str">
        <f>IF(D142="","",IF(D142&lt;36,"Does not meet design criteria",""))</f>
        <v/>
      </c>
      <c r="F142" s="323"/>
      <c r="G142" s="323"/>
      <c r="H142" s="324"/>
    </row>
    <row r="143" spans="1:8" x14ac:dyDescent="0.35">
      <c r="A143" s="242" t="s">
        <v>287</v>
      </c>
      <c r="B143" s="243"/>
      <c r="C143" s="244"/>
      <c r="D143" s="59"/>
      <c r="E143" s="322" t="str">
        <f>IF(D143="","",IF(D143&lt;5,"Does not meet design criteria",""))</f>
        <v/>
      </c>
      <c r="F143" s="323"/>
      <c r="G143" s="323"/>
      <c r="H143" s="324"/>
    </row>
    <row r="144" spans="1:8" x14ac:dyDescent="0.35">
      <c r="A144" s="242" t="s">
        <v>288</v>
      </c>
      <c r="B144" s="243"/>
      <c r="C144" s="244"/>
      <c r="D144" s="59"/>
      <c r="E144" s="322" t="str">
        <f>IF(D144="","",IF(D144&lt;5,"Does not meet design criteria",""))</f>
        <v/>
      </c>
      <c r="F144" s="323"/>
      <c r="G144" s="323"/>
      <c r="H144" s="324"/>
    </row>
    <row r="145" spans="1:8" x14ac:dyDescent="0.35">
      <c r="A145" s="242" t="s">
        <v>289</v>
      </c>
      <c r="B145" s="243"/>
      <c r="C145" s="244"/>
      <c r="D145" s="59"/>
      <c r="E145" s="322"/>
      <c r="F145" s="323"/>
      <c r="G145" s="323"/>
      <c r="H145" s="324"/>
    </row>
    <row r="146" spans="1:8" x14ac:dyDescent="0.35">
      <c r="A146" s="242" t="s">
        <v>290</v>
      </c>
      <c r="B146" s="243"/>
      <c r="C146" s="244"/>
      <c r="D146" s="134">
        <f>IF(D145&lt;16,3.14*D145^2/4/2,IF(D145&gt;=16,100))</f>
        <v>0</v>
      </c>
      <c r="E146" s="322"/>
      <c r="F146" s="323"/>
      <c r="G146" s="323"/>
      <c r="H146" s="324"/>
    </row>
    <row r="147" spans="1:8" x14ac:dyDescent="0.35">
      <c r="A147" s="242" t="s">
        <v>291</v>
      </c>
      <c r="B147" s="243"/>
      <c r="C147" s="244"/>
      <c r="D147" s="59"/>
      <c r="E147" s="322"/>
      <c r="F147" s="323"/>
      <c r="G147" s="323"/>
      <c r="H147" s="324"/>
    </row>
    <row r="148" spans="1:8" x14ac:dyDescent="0.35">
      <c r="A148" s="242" t="s">
        <v>292</v>
      </c>
      <c r="B148" s="243"/>
      <c r="C148" s="244"/>
      <c r="D148" s="134">
        <f>D146*D147</f>
        <v>0</v>
      </c>
      <c r="E148" s="322"/>
      <c r="F148" s="323"/>
      <c r="G148" s="323"/>
      <c r="H148" s="324"/>
    </row>
    <row r="149" spans="1:8" x14ac:dyDescent="0.35">
      <c r="A149" s="236" t="s">
        <v>276</v>
      </c>
      <c r="B149" s="237"/>
      <c r="C149" s="237"/>
      <c r="D149" s="237"/>
      <c r="E149" s="237"/>
      <c r="F149" s="237"/>
      <c r="G149" s="237"/>
      <c r="H149" s="238"/>
    </row>
    <row r="150" spans="1:8" x14ac:dyDescent="0.35">
      <c r="A150" s="239" t="s">
        <v>241</v>
      </c>
      <c r="B150" s="239"/>
      <c r="C150" s="9" t="str">
        <f>IF(F129="","",IF(B129="",0,IF(D131="YES",0,IF(D132="YES",0,IF(D133="YES",0,IF(D134&gt;10,0,IF(D136&gt;10,0,IF(D139&gt;20,0,IF(D140&gt;6,0,IF(D141&gt;3,0,IF(D142&lt;36,0,IF(D143&lt;5,0,IF(D144&lt;5,0,F129)))))))))))))</f>
        <v/>
      </c>
      <c r="D150" s="240" t="s">
        <v>2</v>
      </c>
      <c r="E150" s="240"/>
      <c r="F150" s="240"/>
      <c r="G150" s="240"/>
      <c r="H150" s="240"/>
    </row>
    <row r="151" spans="1:8" x14ac:dyDescent="0.35">
      <c r="A151" s="16" t="s">
        <v>56</v>
      </c>
      <c r="B151" s="225" t="str">
        <f>IF('STEP 2-WQv Calculation'!$B$4="","",'STEP 2-WQv Calculation'!$B$4)</f>
        <v/>
      </c>
      <c r="C151" s="4"/>
      <c r="D151" s="4"/>
      <c r="E151" s="4"/>
      <c r="F151" s="4"/>
      <c r="G151" s="4"/>
      <c r="H151" s="4"/>
    </row>
    <row r="152" spans="1:8" x14ac:dyDescent="0.35">
      <c r="A152" s="273" t="s">
        <v>243</v>
      </c>
      <c r="B152" s="273"/>
      <c r="C152" s="273"/>
      <c r="D152" s="273"/>
      <c r="E152" s="273"/>
      <c r="F152" s="273"/>
      <c r="G152" s="273"/>
      <c r="H152" s="273"/>
    </row>
    <row r="153" spans="1:8" ht="38.5" x14ac:dyDescent="0.35">
      <c r="A153" s="204" t="s">
        <v>60</v>
      </c>
      <c r="B153" s="205" t="s">
        <v>61</v>
      </c>
      <c r="C153" s="205" t="s">
        <v>62</v>
      </c>
      <c r="D153" s="205" t="s">
        <v>63</v>
      </c>
      <c r="E153" s="205" t="s">
        <v>64</v>
      </c>
      <c r="F153" s="205" t="s">
        <v>65</v>
      </c>
      <c r="G153" s="205" t="s">
        <v>244</v>
      </c>
      <c r="H153" s="206" t="s">
        <v>13</v>
      </c>
    </row>
    <row r="154" spans="1:8" x14ac:dyDescent="0.35">
      <c r="A154" s="218"/>
      <c r="B154" s="3" t="str">
        <f>IF($A154="","",(LOOKUP($A154,'STEP 2-WQv Calculation'!$A$8:$A$37,'STEP 2-WQv Calculation'!$B$8:$B$37)))</f>
        <v/>
      </c>
      <c r="C154" s="3" t="str">
        <f>IF($A154="","",(LOOKUP($A154,'STEP 2-WQv Calculation'!$A$8:$A$37,'STEP 2-WQv Calculation'!$C$8:$C$37)))</f>
        <v/>
      </c>
      <c r="D154" s="212" t="str">
        <f>IF($A154="","",(LOOKUP($A154,'STEP 2-WQv Calculation'!$A$8:$A$37,'STEP 2-WQv Calculation'!$D$8:$D$37)))</f>
        <v/>
      </c>
      <c r="E154" s="3" t="str">
        <f>IF($A154="","",(LOOKUP($A154,'STEP 2-WQv Calculation'!$A$8:$A$37,'STEP 2-WQv Calculation'!$E$8:$E$37)))</f>
        <v/>
      </c>
      <c r="F154" s="217" t="str">
        <f>IF($A154="","",(LOOKUP($A154,'STEP 2-WQv Calculation'!$A$8:$A$37,'STEP 2-WQv Calculation'!$F$8:$F$37)))</f>
        <v/>
      </c>
      <c r="G154" s="22">
        <f>'STEP 2-WQv Calculation'!B55</f>
        <v>0</v>
      </c>
      <c r="H154" s="198" t="str">
        <f>IF($A154="","",(LOOKUP($A154,'STEP 2-WQv Calculation'!$A$8:$A$37,'STEP 2-WQv Calculation'!$G$8:$G$37)))</f>
        <v/>
      </c>
    </row>
    <row r="155" spans="1:8" x14ac:dyDescent="0.35">
      <c r="A155" s="273" t="s">
        <v>226</v>
      </c>
      <c r="B155" s="273"/>
      <c r="C155" s="273"/>
      <c r="D155" s="273"/>
      <c r="E155" s="273"/>
      <c r="F155" s="273"/>
      <c r="G155" s="273"/>
      <c r="H155" s="273"/>
    </row>
    <row r="156" spans="1:8" x14ac:dyDescent="0.35">
      <c r="A156" s="325" t="s">
        <v>277</v>
      </c>
      <c r="B156" s="326"/>
      <c r="C156" s="327"/>
      <c r="D156" s="196" t="str">
        <f>IF(B154="","",IF((D171*D172)&gt;=(C154*43560),"No","Yes"))</f>
        <v/>
      </c>
      <c r="E156" s="322" t="str">
        <f>IF(D156="Yes","Does not meet design criteria","")</f>
        <v/>
      </c>
      <c r="F156" s="323"/>
      <c r="G156" s="323"/>
      <c r="H156" s="324"/>
    </row>
    <row r="157" spans="1:8" x14ac:dyDescent="0.35">
      <c r="A157" s="245" t="s">
        <v>247</v>
      </c>
      <c r="B157" s="245"/>
      <c r="C157" s="245"/>
      <c r="D157" s="211"/>
      <c r="E157" s="322" t="str">
        <f>IF(D157="","This practice cannot be used for hotspot treatment",IF(D157="Yes","Does not meet design criteria",""))</f>
        <v>This practice cannot be used for hotspot treatment</v>
      </c>
      <c r="F157" s="323"/>
      <c r="G157" s="323"/>
      <c r="H157" s="324"/>
    </row>
    <row r="158" spans="1:8" x14ac:dyDescent="0.35">
      <c r="A158" s="245" t="s">
        <v>278</v>
      </c>
      <c r="B158" s="245"/>
      <c r="C158" s="245"/>
      <c r="D158" s="211"/>
      <c r="E158" s="322" t="str">
        <f>IF(D158="Yes","Does not meet design criteria","")</f>
        <v/>
      </c>
      <c r="F158" s="323"/>
      <c r="G158" s="323"/>
      <c r="H158" s="324"/>
    </row>
    <row r="159" spans="1:8" x14ac:dyDescent="0.35">
      <c r="A159" s="245" t="s">
        <v>279</v>
      </c>
      <c r="B159" s="245"/>
      <c r="C159" s="245"/>
      <c r="D159" s="209"/>
      <c r="E159" s="322" t="str">
        <f>IF(D159&gt;10,"Does not meet design criteria","")</f>
        <v/>
      </c>
      <c r="F159" s="323"/>
      <c r="G159" s="323"/>
      <c r="H159" s="324"/>
    </row>
    <row r="160" spans="1:8" x14ac:dyDescent="0.35">
      <c r="A160" s="245" t="s">
        <v>280</v>
      </c>
      <c r="B160" s="245"/>
      <c r="C160" s="245"/>
      <c r="D160" s="211"/>
      <c r="E160" s="322"/>
      <c r="F160" s="323"/>
      <c r="G160" s="323"/>
      <c r="H160" s="324"/>
    </row>
    <row r="161" spans="1:8" x14ac:dyDescent="0.35">
      <c r="A161" s="245" t="s">
        <v>281</v>
      </c>
      <c r="B161" s="245"/>
      <c r="C161" s="245"/>
      <c r="D161" s="328"/>
      <c r="E161" s="316" t="str">
        <f>IF(D161&gt;10,"Does not meet design criteria","")</f>
        <v/>
      </c>
      <c r="F161" s="317"/>
      <c r="G161" s="317"/>
      <c r="H161" s="318"/>
    </row>
    <row r="162" spans="1:8" x14ac:dyDescent="0.35">
      <c r="A162" s="245"/>
      <c r="B162" s="245"/>
      <c r="C162" s="245"/>
      <c r="D162" s="329"/>
      <c r="E162" s="319"/>
      <c r="F162" s="320"/>
      <c r="G162" s="320"/>
      <c r="H162" s="321"/>
    </row>
    <row r="163" spans="1:8" x14ac:dyDescent="0.35">
      <c r="A163" s="245" t="s">
        <v>282</v>
      </c>
      <c r="B163" s="245"/>
      <c r="C163" s="245"/>
      <c r="D163" s="211"/>
      <c r="E163" s="322"/>
      <c r="F163" s="323"/>
      <c r="G163" s="323"/>
      <c r="H163" s="324"/>
    </row>
    <row r="164" spans="1:8" x14ac:dyDescent="0.35">
      <c r="A164" s="242" t="s">
        <v>283</v>
      </c>
      <c r="B164" s="243"/>
      <c r="C164" s="244"/>
      <c r="D164" s="59"/>
      <c r="E164" s="322" t="str">
        <f>IF(D164&gt;20,"Does not meet design criteria","")</f>
        <v/>
      </c>
      <c r="F164" s="323"/>
      <c r="G164" s="323"/>
      <c r="H164" s="324"/>
    </row>
    <row r="165" spans="1:8" x14ac:dyDescent="0.35">
      <c r="A165" s="242" t="s">
        <v>284</v>
      </c>
      <c r="B165" s="243"/>
      <c r="C165" s="244"/>
      <c r="D165" s="59"/>
      <c r="E165" s="322" t="str">
        <f>IF(D165&gt;6,"Does not meet design criteria","")</f>
        <v/>
      </c>
      <c r="F165" s="323"/>
      <c r="G165" s="323"/>
      <c r="H165" s="324"/>
    </row>
    <row r="166" spans="1:8" x14ac:dyDescent="0.35">
      <c r="A166" s="242" t="s">
        <v>285</v>
      </c>
      <c r="B166" s="243"/>
      <c r="C166" s="244"/>
      <c r="D166" s="59"/>
      <c r="E166" s="322" t="str">
        <f>IF(D166&gt;3,"Does not meet design criteria","")</f>
        <v/>
      </c>
      <c r="F166" s="323"/>
      <c r="G166" s="323"/>
      <c r="H166" s="324"/>
    </row>
    <row r="167" spans="1:8" x14ac:dyDescent="0.35">
      <c r="A167" s="242" t="s">
        <v>286</v>
      </c>
      <c r="B167" s="243"/>
      <c r="C167" s="244"/>
      <c r="D167" s="59"/>
      <c r="E167" s="322" t="str">
        <f>IF(D167="","",IF(D167&lt;36,"Does not meet design criteria",""))</f>
        <v/>
      </c>
      <c r="F167" s="323"/>
      <c r="G167" s="323"/>
      <c r="H167" s="324"/>
    </row>
    <row r="168" spans="1:8" x14ac:dyDescent="0.35">
      <c r="A168" s="242" t="s">
        <v>287</v>
      </c>
      <c r="B168" s="243"/>
      <c r="C168" s="244"/>
      <c r="D168" s="59"/>
      <c r="E168" s="322" t="str">
        <f>IF(D168="","",IF(D168&lt;5,"Does not meet design criteria",""))</f>
        <v/>
      </c>
      <c r="F168" s="323"/>
      <c r="G168" s="323"/>
      <c r="H168" s="324"/>
    </row>
    <row r="169" spans="1:8" x14ac:dyDescent="0.35">
      <c r="A169" s="242" t="s">
        <v>288</v>
      </c>
      <c r="B169" s="243"/>
      <c r="C169" s="244"/>
      <c r="D169" s="59"/>
      <c r="E169" s="322" t="str">
        <f>IF(D169="","",IF(D169&lt;5,"Does not meet design criteria",""))</f>
        <v/>
      </c>
      <c r="F169" s="323"/>
      <c r="G169" s="323"/>
      <c r="H169" s="324"/>
    </row>
    <row r="170" spans="1:8" x14ac:dyDescent="0.35">
      <c r="A170" s="242" t="s">
        <v>289</v>
      </c>
      <c r="B170" s="243"/>
      <c r="C170" s="244"/>
      <c r="D170" s="59"/>
      <c r="E170" s="322"/>
      <c r="F170" s="323"/>
      <c r="G170" s="323"/>
      <c r="H170" s="324"/>
    </row>
    <row r="171" spans="1:8" x14ac:dyDescent="0.35">
      <c r="A171" s="242" t="s">
        <v>290</v>
      </c>
      <c r="B171" s="243"/>
      <c r="C171" s="244"/>
      <c r="D171" s="134">
        <f>IF(D170&lt;16,3.14*D170^2/4/2,IF(D170&gt;=16,100))</f>
        <v>0</v>
      </c>
      <c r="E171" s="322"/>
      <c r="F171" s="323"/>
      <c r="G171" s="323"/>
      <c r="H171" s="324"/>
    </row>
    <row r="172" spans="1:8" x14ac:dyDescent="0.35">
      <c r="A172" s="242" t="s">
        <v>291</v>
      </c>
      <c r="B172" s="243"/>
      <c r="C172" s="244"/>
      <c r="D172" s="59"/>
      <c r="E172" s="322"/>
      <c r="F172" s="323"/>
      <c r="G172" s="323"/>
      <c r="H172" s="324"/>
    </row>
    <row r="173" spans="1:8" x14ac:dyDescent="0.35">
      <c r="A173" s="242" t="s">
        <v>292</v>
      </c>
      <c r="B173" s="243"/>
      <c r="C173" s="244"/>
      <c r="D173" s="134">
        <f>D171*D172</f>
        <v>0</v>
      </c>
      <c r="E173" s="322"/>
      <c r="F173" s="323"/>
      <c r="G173" s="323"/>
      <c r="H173" s="324"/>
    </row>
    <row r="174" spans="1:8" x14ac:dyDescent="0.35">
      <c r="A174" s="236" t="s">
        <v>276</v>
      </c>
      <c r="B174" s="237"/>
      <c r="C174" s="237"/>
      <c r="D174" s="237"/>
      <c r="E174" s="237"/>
      <c r="F174" s="237"/>
      <c r="G174" s="237"/>
      <c r="H174" s="238"/>
    </row>
    <row r="175" spans="1:8" x14ac:dyDescent="0.35">
      <c r="A175" s="239" t="s">
        <v>241</v>
      </c>
      <c r="B175" s="239"/>
      <c r="C175" s="9" t="str">
        <f>IF(F154="","",IF(B154="",0,IF(D156="YES",0,IF(D157="YES",0,IF(D158="YES",0,IF(D159&gt;10,0,IF(D161&gt;10,0,IF(D164&gt;20,0,IF(D165&gt;6,0,IF(D166&gt;3,0,IF(D167&lt;36,0,IF(D168&lt;5,0,IF(D169&lt;5,0,F154)))))))))))))</f>
        <v/>
      </c>
      <c r="D175" s="240" t="s">
        <v>2</v>
      </c>
      <c r="E175" s="240"/>
      <c r="F175" s="240"/>
      <c r="G175" s="240"/>
      <c r="H175" s="240"/>
    </row>
    <row r="176" spans="1:8" x14ac:dyDescent="0.35">
      <c r="A176" s="16" t="s">
        <v>56</v>
      </c>
      <c r="B176" s="225" t="str">
        <f>IF('STEP 2-WQv Calculation'!$B$4="","",'STEP 2-WQv Calculation'!$B$4)</f>
        <v/>
      </c>
      <c r="C176" s="4"/>
      <c r="D176" s="4"/>
      <c r="E176" s="4"/>
      <c r="F176" s="4"/>
      <c r="G176" s="4"/>
      <c r="H176" s="4"/>
    </row>
    <row r="177" spans="1:8" x14ac:dyDescent="0.35">
      <c r="A177" s="273" t="s">
        <v>243</v>
      </c>
      <c r="B177" s="273"/>
      <c r="C177" s="273"/>
      <c r="D177" s="273"/>
      <c r="E177" s="273"/>
      <c r="F177" s="273"/>
      <c r="G177" s="273"/>
      <c r="H177" s="273"/>
    </row>
    <row r="178" spans="1:8" ht="38.5" x14ac:dyDescent="0.35">
      <c r="A178" s="204" t="s">
        <v>60</v>
      </c>
      <c r="B178" s="205" t="s">
        <v>61</v>
      </c>
      <c r="C178" s="205" t="s">
        <v>62</v>
      </c>
      <c r="D178" s="205" t="s">
        <v>63</v>
      </c>
      <c r="E178" s="205" t="s">
        <v>64</v>
      </c>
      <c r="F178" s="205" t="s">
        <v>65</v>
      </c>
      <c r="G178" s="205" t="s">
        <v>244</v>
      </c>
      <c r="H178" s="206" t="s">
        <v>13</v>
      </c>
    </row>
    <row r="179" spans="1:8" x14ac:dyDescent="0.35">
      <c r="A179" s="218"/>
      <c r="B179" s="3" t="str">
        <f>IF($A179="","",(LOOKUP($A179,'STEP 2-WQv Calculation'!$A$8:$A$37,'STEP 2-WQv Calculation'!$B$8:$B$37)))</f>
        <v/>
      </c>
      <c r="C179" s="3" t="str">
        <f>IF($A179="","",(LOOKUP($A179,'STEP 2-WQv Calculation'!$A$8:$A$37,'STEP 2-WQv Calculation'!$C$8:$C$37)))</f>
        <v/>
      </c>
      <c r="D179" s="212" t="str">
        <f>IF($A179="","",(LOOKUP($A179,'STEP 2-WQv Calculation'!$A$8:$A$37,'STEP 2-WQv Calculation'!$D$8:$D$37)))</f>
        <v/>
      </c>
      <c r="E179" s="3" t="str">
        <f>IF($A179="","",(LOOKUP($A179,'STEP 2-WQv Calculation'!$A$8:$A$37,'STEP 2-WQv Calculation'!$E$8:$E$37)))</f>
        <v/>
      </c>
      <c r="F179" s="217" t="str">
        <f>IF($A179="","",(LOOKUP($A179,'STEP 2-WQv Calculation'!$A$8:$A$37,'STEP 2-WQv Calculation'!$F$8:$F$37)))</f>
        <v/>
      </c>
      <c r="G179" s="22">
        <f>'STEP 2-WQv Calculation'!B80</f>
        <v>0</v>
      </c>
      <c r="H179" s="198" t="str">
        <f>IF($A179="","",(LOOKUP($A179,'STEP 2-WQv Calculation'!$A$8:$A$37,'STEP 2-WQv Calculation'!$G$8:$G$37)))</f>
        <v/>
      </c>
    </row>
    <row r="180" spans="1:8" x14ac:dyDescent="0.35">
      <c r="A180" s="273" t="s">
        <v>226</v>
      </c>
      <c r="B180" s="273"/>
      <c r="C180" s="273"/>
      <c r="D180" s="273"/>
      <c r="E180" s="273"/>
      <c r="F180" s="273"/>
      <c r="G180" s="273"/>
      <c r="H180" s="273"/>
    </row>
    <row r="181" spans="1:8" x14ac:dyDescent="0.35">
      <c r="A181" s="325" t="s">
        <v>277</v>
      </c>
      <c r="B181" s="326"/>
      <c r="C181" s="327"/>
      <c r="D181" s="196" t="str">
        <f>IF(B179="","",IF((D196*D197)&gt;=(C179*43560),"No","Yes"))</f>
        <v/>
      </c>
      <c r="E181" s="322" t="str">
        <f>IF(D181="Yes","Does not meet design criteria","")</f>
        <v/>
      </c>
      <c r="F181" s="323"/>
      <c r="G181" s="323"/>
      <c r="H181" s="324"/>
    </row>
    <row r="182" spans="1:8" x14ac:dyDescent="0.35">
      <c r="A182" s="245" t="s">
        <v>247</v>
      </c>
      <c r="B182" s="245"/>
      <c r="C182" s="245"/>
      <c r="D182" s="211"/>
      <c r="E182" s="322" t="str">
        <f>IF(D182="","This practice cannot be used for hotspot treatment",IF(D182="Yes","Does not meet design criteria",""))</f>
        <v>This practice cannot be used for hotspot treatment</v>
      </c>
      <c r="F182" s="323"/>
      <c r="G182" s="323"/>
      <c r="H182" s="324"/>
    </row>
    <row r="183" spans="1:8" x14ac:dyDescent="0.35">
      <c r="A183" s="245" t="s">
        <v>278</v>
      </c>
      <c r="B183" s="245"/>
      <c r="C183" s="245"/>
      <c r="D183" s="211"/>
      <c r="E183" s="322" t="str">
        <f>IF(D183="Yes","Does not meet design criteria","")</f>
        <v/>
      </c>
      <c r="F183" s="323"/>
      <c r="G183" s="323"/>
      <c r="H183" s="324"/>
    </row>
    <row r="184" spans="1:8" x14ac:dyDescent="0.35">
      <c r="A184" s="245" t="s">
        <v>279</v>
      </c>
      <c r="B184" s="245"/>
      <c r="C184" s="245"/>
      <c r="D184" s="209"/>
      <c r="E184" s="322" t="str">
        <f>IF(D184&gt;10,"Does not meet design criteria","")</f>
        <v/>
      </c>
      <c r="F184" s="323"/>
      <c r="G184" s="323"/>
      <c r="H184" s="324"/>
    </row>
    <row r="185" spans="1:8" x14ac:dyDescent="0.35">
      <c r="A185" s="245" t="s">
        <v>280</v>
      </c>
      <c r="B185" s="245"/>
      <c r="C185" s="245"/>
      <c r="D185" s="211"/>
      <c r="E185" s="322"/>
      <c r="F185" s="323"/>
      <c r="G185" s="323"/>
      <c r="H185" s="324"/>
    </row>
    <row r="186" spans="1:8" x14ac:dyDescent="0.35">
      <c r="A186" s="245" t="s">
        <v>281</v>
      </c>
      <c r="B186" s="245"/>
      <c r="C186" s="245"/>
      <c r="D186" s="328"/>
      <c r="E186" s="316" t="str">
        <f>IF(D186&gt;10,"Does not meet design criteria","")</f>
        <v/>
      </c>
      <c r="F186" s="317"/>
      <c r="G186" s="317"/>
      <c r="H186" s="318"/>
    </row>
    <row r="187" spans="1:8" x14ac:dyDescent="0.35">
      <c r="A187" s="245"/>
      <c r="B187" s="245"/>
      <c r="C187" s="245"/>
      <c r="D187" s="329"/>
      <c r="E187" s="319"/>
      <c r="F187" s="320"/>
      <c r="G187" s="320"/>
      <c r="H187" s="321"/>
    </row>
    <row r="188" spans="1:8" x14ac:dyDescent="0.35">
      <c r="A188" s="245" t="s">
        <v>282</v>
      </c>
      <c r="B188" s="245"/>
      <c r="C188" s="245"/>
      <c r="D188" s="211"/>
      <c r="E188" s="322"/>
      <c r="F188" s="323"/>
      <c r="G188" s="323"/>
      <c r="H188" s="324"/>
    </row>
    <row r="189" spans="1:8" x14ac:dyDescent="0.35">
      <c r="A189" s="242" t="s">
        <v>283</v>
      </c>
      <c r="B189" s="243"/>
      <c r="C189" s="244"/>
      <c r="D189" s="59"/>
      <c r="E189" s="322" t="str">
        <f>IF(D189&gt;20,"Does not meet design criteria","")</f>
        <v/>
      </c>
      <c r="F189" s="323"/>
      <c r="G189" s="323"/>
      <c r="H189" s="324"/>
    </row>
    <row r="190" spans="1:8" x14ac:dyDescent="0.35">
      <c r="A190" s="242" t="s">
        <v>284</v>
      </c>
      <c r="B190" s="243"/>
      <c r="C190" s="244"/>
      <c r="D190" s="59"/>
      <c r="E190" s="322" t="str">
        <f>IF(D190&gt;6,"Does not meet design criteria","")</f>
        <v/>
      </c>
      <c r="F190" s="323"/>
      <c r="G190" s="323"/>
      <c r="H190" s="324"/>
    </row>
    <row r="191" spans="1:8" x14ac:dyDescent="0.35">
      <c r="A191" s="242" t="s">
        <v>285</v>
      </c>
      <c r="B191" s="243"/>
      <c r="C191" s="244"/>
      <c r="D191" s="59"/>
      <c r="E191" s="322" t="str">
        <f>IF(D191&gt;3,"Does not meet design criteria","")</f>
        <v/>
      </c>
      <c r="F191" s="323"/>
      <c r="G191" s="323"/>
      <c r="H191" s="324"/>
    </row>
    <row r="192" spans="1:8" x14ac:dyDescent="0.35">
      <c r="A192" s="242" t="s">
        <v>286</v>
      </c>
      <c r="B192" s="243"/>
      <c r="C192" s="244"/>
      <c r="D192" s="59"/>
      <c r="E192" s="322" t="str">
        <f>IF(D192="","",IF(D192&lt;36,"Does not meet design criteria",""))</f>
        <v/>
      </c>
      <c r="F192" s="323"/>
      <c r="G192" s="323"/>
      <c r="H192" s="324"/>
    </row>
    <row r="193" spans="1:8" x14ac:dyDescent="0.35">
      <c r="A193" s="242" t="s">
        <v>287</v>
      </c>
      <c r="B193" s="243"/>
      <c r="C193" s="244"/>
      <c r="D193" s="59"/>
      <c r="E193" s="322" t="str">
        <f>IF(D193="","",IF(D193&lt;5,"Does not meet design criteria",""))</f>
        <v/>
      </c>
      <c r="F193" s="323"/>
      <c r="G193" s="323"/>
      <c r="H193" s="324"/>
    </row>
    <row r="194" spans="1:8" x14ac:dyDescent="0.35">
      <c r="A194" s="242" t="s">
        <v>288</v>
      </c>
      <c r="B194" s="243"/>
      <c r="C194" s="244"/>
      <c r="D194" s="59"/>
      <c r="E194" s="322" t="str">
        <f>IF(D194="","",IF(D194&lt;5,"Does not meet design criteria",""))</f>
        <v/>
      </c>
      <c r="F194" s="323"/>
      <c r="G194" s="323"/>
      <c r="H194" s="324"/>
    </row>
    <row r="195" spans="1:8" x14ac:dyDescent="0.35">
      <c r="A195" s="242" t="s">
        <v>289</v>
      </c>
      <c r="B195" s="243"/>
      <c r="C195" s="244"/>
      <c r="D195" s="59"/>
      <c r="E195" s="322"/>
      <c r="F195" s="323"/>
      <c r="G195" s="323"/>
      <c r="H195" s="324"/>
    </row>
    <row r="196" spans="1:8" x14ac:dyDescent="0.35">
      <c r="A196" s="242" t="s">
        <v>290</v>
      </c>
      <c r="B196" s="243"/>
      <c r="C196" s="244"/>
      <c r="D196" s="134">
        <f>IF(D195&lt;16,3.14*D195^2/4/2,IF(D195&gt;=16,100))</f>
        <v>0</v>
      </c>
      <c r="E196" s="322"/>
      <c r="F196" s="323"/>
      <c r="G196" s="323"/>
      <c r="H196" s="324"/>
    </row>
    <row r="197" spans="1:8" x14ac:dyDescent="0.35">
      <c r="A197" s="242" t="s">
        <v>291</v>
      </c>
      <c r="B197" s="243"/>
      <c r="C197" s="244"/>
      <c r="D197" s="59"/>
      <c r="E197" s="322"/>
      <c r="F197" s="323"/>
      <c r="G197" s="323"/>
      <c r="H197" s="324"/>
    </row>
    <row r="198" spans="1:8" x14ac:dyDescent="0.35">
      <c r="A198" s="242" t="s">
        <v>292</v>
      </c>
      <c r="B198" s="243"/>
      <c r="C198" s="244"/>
      <c r="D198" s="134">
        <f>D196*D197</f>
        <v>0</v>
      </c>
      <c r="E198" s="322"/>
      <c r="F198" s="323"/>
      <c r="G198" s="323"/>
      <c r="H198" s="324"/>
    </row>
    <row r="199" spans="1:8" x14ac:dyDescent="0.35">
      <c r="A199" s="236" t="s">
        <v>276</v>
      </c>
      <c r="B199" s="237"/>
      <c r="C199" s="237"/>
      <c r="D199" s="237"/>
      <c r="E199" s="237"/>
      <c r="F199" s="237"/>
      <c r="G199" s="237"/>
      <c r="H199" s="238"/>
    </row>
    <row r="200" spans="1:8" x14ac:dyDescent="0.35">
      <c r="A200" s="239" t="s">
        <v>241</v>
      </c>
      <c r="B200" s="239"/>
      <c r="C200" s="9" t="str">
        <f>IF(F179="","",IF(B179="",0,IF(D181="YES",0,IF(D182="YES",0,IF(D183="YES",0,IF(D184&gt;10,0,IF(D186&gt;10,0,IF(D189&gt;20,0,IF(D190&gt;6,0,IF(D191&gt;3,0,IF(D192&lt;36,0,IF(D193&lt;5,0,IF(D194&lt;5,0,F179)))))))))))))</f>
        <v/>
      </c>
      <c r="D200" s="240" t="s">
        <v>2</v>
      </c>
      <c r="E200" s="240"/>
      <c r="F200" s="240"/>
      <c r="G200" s="240"/>
      <c r="H200" s="240"/>
    </row>
    <row r="201" spans="1:8" x14ac:dyDescent="0.35">
      <c r="A201" s="16" t="s">
        <v>56</v>
      </c>
      <c r="B201" s="225" t="str">
        <f>IF('STEP 2-WQv Calculation'!$B$4="","",'STEP 2-WQv Calculation'!$B$4)</f>
        <v/>
      </c>
      <c r="C201" s="4"/>
      <c r="D201" s="4"/>
      <c r="E201" s="4"/>
      <c r="F201" s="4"/>
      <c r="G201" s="4"/>
      <c r="H201" s="4"/>
    </row>
    <row r="202" spans="1:8" x14ac:dyDescent="0.35">
      <c r="A202" s="273" t="s">
        <v>243</v>
      </c>
      <c r="B202" s="273"/>
      <c r="C202" s="273"/>
      <c r="D202" s="273"/>
      <c r="E202" s="273"/>
      <c r="F202" s="273"/>
      <c r="G202" s="273"/>
      <c r="H202" s="273"/>
    </row>
    <row r="203" spans="1:8" ht="38.5" x14ac:dyDescent="0.35">
      <c r="A203" s="204" t="s">
        <v>60</v>
      </c>
      <c r="B203" s="205" t="s">
        <v>61</v>
      </c>
      <c r="C203" s="205" t="s">
        <v>62</v>
      </c>
      <c r="D203" s="205" t="s">
        <v>63</v>
      </c>
      <c r="E203" s="205" t="s">
        <v>64</v>
      </c>
      <c r="F203" s="205" t="s">
        <v>65</v>
      </c>
      <c r="G203" s="205" t="s">
        <v>244</v>
      </c>
      <c r="H203" s="206" t="s">
        <v>13</v>
      </c>
    </row>
    <row r="204" spans="1:8" x14ac:dyDescent="0.35">
      <c r="A204" s="218"/>
      <c r="B204" s="3" t="str">
        <f>IF($A204="","",(LOOKUP($A204,'STEP 2-WQv Calculation'!$A$8:$A$37,'STEP 2-WQv Calculation'!$B$8:$B$37)))</f>
        <v/>
      </c>
      <c r="C204" s="3" t="str">
        <f>IF($A204="","",(LOOKUP($A204,'STEP 2-WQv Calculation'!$A$8:$A$37,'STEP 2-WQv Calculation'!$C$8:$C$37)))</f>
        <v/>
      </c>
      <c r="D204" s="212" t="str">
        <f>IF($A204="","",(LOOKUP($A204,'STEP 2-WQv Calculation'!$A$8:$A$37,'STEP 2-WQv Calculation'!$D$8:$D$37)))</f>
        <v/>
      </c>
      <c r="E204" s="3" t="str">
        <f>IF($A204="","",(LOOKUP($A204,'STEP 2-WQv Calculation'!$A$8:$A$37,'STEP 2-WQv Calculation'!$E$8:$E$37)))</f>
        <v/>
      </c>
      <c r="F204" s="217" t="str">
        <f>IF($A204="","",(LOOKUP($A204,'STEP 2-WQv Calculation'!$A$8:$A$37,'STEP 2-WQv Calculation'!$F$8:$F$37)))</f>
        <v/>
      </c>
      <c r="G204" s="22">
        <f>'STEP 2-WQv Calculation'!B105</f>
        <v>0</v>
      </c>
      <c r="H204" s="198" t="str">
        <f>IF($A204="","",(LOOKUP($A204,'STEP 2-WQv Calculation'!$A$8:$A$37,'STEP 2-WQv Calculation'!$G$8:$G$37)))</f>
        <v/>
      </c>
    </row>
    <row r="205" spans="1:8" x14ac:dyDescent="0.35">
      <c r="A205" s="273" t="s">
        <v>226</v>
      </c>
      <c r="B205" s="273"/>
      <c r="C205" s="273"/>
      <c r="D205" s="273"/>
      <c r="E205" s="273"/>
      <c r="F205" s="273"/>
      <c r="G205" s="273"/>
      <c r="H205" s="273"/>
    </row>
    <row r="206" spans="1:8" x14ac:dyDescent="0.35">
      <c r="A206" s="325" t="s">
        <v>277</v>
      </c>
      <c r="B206" s="326"/>
      <c r="C206" s="327"/>
      <c r="D206" s="196" t="str">
        <f>IF(B204="","",IF((D221*D222)&gt;=(C204*43560),"No","Yes"))</f>
        <v/>
      </c>
      <c r="E206" s="322" t="str">
        <f>IF(D206="Yes","Does not meet design criteria","")</f>
        <v/>
      </c>
      <c r="F206" s="323"/>
      <c r="G206" s="323"/>
      <c r="H206" s="324"/>
    </row>
    <row r="207" spans="1:8" x14ac:dyDescent="0.35">
      <c r="A207" s="245" t="s">
        <v>247</v>
      </c>
      <c r="B207" s="245"/>
      <c r="C207" s="245"/>
      <c r="D207" s="211"/>
      <c r="E207" s="322" t="str">
        <f>IF(D207="","This practice cannot be used for hotspot treatment",IF(D207="Yes","Does not meet design criteria",""))</f>
        <v>This practice cannot be used for hotspot treatment</v>
      </c>
      <c r="F207" s="323"/>
      <c r="G207" s="323"/>
      <c r="H207" s="324"/>
    </row>
    <row r="208" spans="1:8" x14ac:dyDescent="0.35">
      <c r="A208" s="245" t="s">
        <v>278</v>
      </c>
      <c r="B208" s="245"/>
      <c r="C208" s="245"/>
      <c r="D208" s="211"/>
      <c r="E208" s="322" t="str">
        <f>IF(D208="Yes","Does not meet design criteria","")</f>
        <v/>
      </c>
      <c r="F208" s="323"/>
      <c r="G208" s="323"/>
      <c r="H208" s="324"/>
    </row>
    <row r="209" spans="1:8" x14ac:dyDescent="0.35">
      <c r="A209" s="245" t="s">
        <v>279</v>
      </c>
      <c r="B209" s="245"/>
      <c r="C209" s="245"/>
      <c r="D209" s="209"/>
      <c r="E209" s="322" t="str">
        <f>IF(D209&gt;10,"Does not meet design criteria","")</f>
        <v/>
      </c>
      <c r="F209" s="323"/>
      <c r="G209" s="323"/>
      <c r="H209" s="324"/>
    </row>
    <row r="210" spans="1:8" x14ac:dyDescent="0.35">
      <c r="A210" s="245" t="s">
        <v>280</v>
      </c>
      <c r="B210" s="245"/>
      <c r="C210" s="245"/>
      <c r="D210" s="211"/>
      <c r="E210" s="322"/>
      <c r="F210" s="323"/>
      <c r="G210" s="323"/>
      <c r="H210" s="324"/>
    </row>
    <row r="211" spans="1:8" x14ac:dyDescent="0.35">
      <c r="A211" s="245" t="s">
        <v>281</v>
      </c>
      <c r="B211" s="245"/>
      <c r="C211" s="245"/>
      <c r="D211" s="328"/>
      <c r="E211" s="316" t="str">
        <f>IF(D211&gt;10,"Does not meet design criteria","")</f>
        <v/>
      </c>
      <c r="F211" s="317"/>
      <c r="G211" s="317"/>
      <c r="H211" s="318"/>
    </row>
    <row r="212" spans="1:8" x14ac:dyDescent="0.35">
      <c r="A212" s="245"/>
      <c r="B212" s="245"/>
      <c r="C212" s="245"/>
      <c r="D212" s="329"/>
      <c r="E212" s="319"/>
      <c r="F212" s="320"/>
      <c r="G212" s="320"/>
      <c r="H212" s="321"/>
    </row>
    <row r="213" spans="1:8" x14ac:dyDescent="0.35">
      <c r="A213" s="245" t="s">
        <v>282</v>
      </c>
      <c r="B213" s="245"/>
      <c r="C213" s="245"/>
      <c r="D213" s="211"/>
      <c r="E213" s="322"/>
      <c r="F213" s="323"/>
      <c r="G213" s="323"/>
      <c r="H213" s="324"/>
    </row>
    <row r="214" spans="1:8" x14ac:dyDescent="0.35">
      <c r="A214" s="242" t="s">
        <v>283</v>
      </c>
      <c r="B214" s="243"/>
      <c r="C214" s="244"/>
      <c r="D214" s="59"/>
      <c r="E214" s="322" t="str">
        <f>IF(D214&gt;20,"Does not meet design criteria","")</f>
        <v/>
      </c>
      <c r="F214" s="323"/>
      <c r="G214" s="323"/>
      <c r="H214" s="324"/>
    </row>
    <row r="215" spans="1:8" x14ac:dyDescent="0.35">
      <c r="A215" s="242" t="s">
        <v>284</v>
      </c>
      <c r="B215" s="243"/>
      <c r="C215" s="244"/>
      <c r="D215" s="59"/>
      <c r="E215" s="322" t="str">
        <f>IF(D215&gt;6,"Does not meet design criteria","")</f>
        <v/>
      </c>
      <c r="F215" s="323"/>
      <c r="G215" s="323"/>
      <c r="H215" s="324"/>
    </row>
    <row r="216" spans="1:8" x14ac:dyDescent="0.35">
      <c r="A216" s="242" t="s">
        <v>285</v>
      </c>
      <c r="B216" s="243"/>
      <c r="C216" s="244"/>
      <c r="D216" s="59"/>
      <c r="E216" s="322" t="str">
        <f>IF(D216&gt;3,"Does not meet design criteria","")</f>
        <v/>
      </c>
      <c r="F216" s="323"/>
      <c r="G216" s="323"/>
      <c r="H216" s="324"/>
    </row>
    <row r="217" spans="1:8" x14ac:dyDescent="0.35">
      <c r="A217" s="242" t="s">
        <v>286</v>
      </c>
      <c r="B217" s="243"/>
      <c r="C217" s="244"/>
      <c r="D217" s="59"/>
      <c r="E217" s="322" t="str">
        <f>IF(D217="","",IF(D217&lt;36,"Does not meet design criteria",""))</f>
        <v/>
      </c>
      <c r="F217" s="323"/>
      <c r="G217" s="323"/>
      <c r="H217" s="324"/>
    </row>
    <row r="218" spans="1:8" x14ac:dyDescent="0.35">
      <c r="A218" s="242" t="s">
        <v>287</v>
      </c>
      <c r="B218" s="243"/>
      <c r="C218" s="244"/>
      <c r="D218" s="59"/>
      <c r="E218" s="322" t="str">
        <f>IF(D218="","",IF(D218&lt;5,"Does not meet design criteria",""))</f>
        <v/>
      </c>
      <c r="F218" s="323"/>
      <c r="G218" s="323"/>
      <c r="H218" s="324"/>
    </row>
    <row r="219" spans="1:8" x14ac:dyDescent="0.35">
      <c r="A219" s="242" t="s">
        <v>288</v>
      </c>
      <c r="B219" s="243"/>
      <c r="C219" s="244"/>
      <c r="D219" s="59"/>
      <c r="E219" s="322" t="str">
        <f>IF(D219="","",IF(D219&lt;5,"Does not meet design criteria",""))</f>
        <v/>
      </c>
      <c r="F219" s="323"/>
      <c r="G219" s="323"/>
      <c r="H219" s="324"/>
    </row>
    <row r="220" spans="1:8" x14ac:dyDescent="0.35">
      <c r="A220" s="242" t="s">
        <v>289</v>
      </c>
      <c r="B220" s="243"/>
      <c r="C220" s="244"/>
      <c r="D220" s="59"/>
      <c r="E220" s="322"/>
      <c r="F220" s="323"/>
      <c r="G220" s="323"/>
      <c r="H220" s="324"/>
    </row>
    <row r="221" spans="1:8" x14ac:dyDescent="0.35">
      <c r="A221" s="242" t="s">
        <v>290</v>
      </c>
      <c r="B221" s="243"/>
      <c r="C221" s="244"/>
      <c r="D221" s="134">
        <f>IF(D220&lt;16,3.14*D220^2/4/2,IF(D220&gt;=16,100))</f>
        <v>0</v>
      </c>
      <c r="E221" s="322"/>
      <c r="F221" s="323"/>
      <c r="G221" s="323"/>
      <c r="H221" s="324"/>
    </row>
    <row r="222" spans="1:8" x14ac:dyDescent="0.35">
      <c r="A222" s="242" t="s">
        <v>291</v>
      </c>
      <c r="B222" s="243"/>
      <c r="C222" s="244"/>
      <c r="D222" s="59"/>
      <c r="E222" s="322"/>
      <c r="F222" s="323"/>
      <c r="G222" s="323"/>
      <c r="H222" s="324"/>
    </row>
    <row r="223" spans="1:8" x14ac:dyDescent="0.35">
      <c r="A223" s="242" t="s">
        <v>292</v>
      </c>
      <c r="B223" s="243"/>
      <c r="C223" s="244"/>
      <c r="D223" s="134">
        <f>D221*D222</f>
        <v>0</v>
      </c>
      <c r="E223" s="322"/>
      <c r="F223" s="323"/>
      <c r="G223" s="323"/>
      <c r="H223" s="324"/>
    </row>
    <row r="224" spans="1:8" x14ac:dyDescent="0.35">
      <c r="A224" s="236" t="s">
        <v>276</v>
      </c>
      <c r="B224" s="237"/>
      <c r="C224" s="237"/>
      <c r="D224" s="237"/>
      <c r="E224" s="237"/>
      <c r="F224" s="237"/>
      <c r="G224" s="237"/>
      <c r="H224" s="238"/>
    </row>
    <row r="225" spans="1:8" x14ac:dyDescent="0.35">
      <c r="A225" s="239" t="s">
        <v>241</v>
      </c>
      <c r="B225" s="239"/>
      <c r="C225" s="9" t="str">
        <f>IF(F204="","",IF(B204="",0,IF(D206="YES",0,IF(D207="YES",0,IF(D208="YES",0,IF(D209&gt;10,0,IF(D211&gt;10,0,IF(D214&gt;20,0,IF(D215&gt;6,0,IF(D216&gt;3,0,IF(D217&lt;36,0,IF(D218&lt;5,0,IF(D219&lt;5,0,F204)))))))))))))</f>
        <v/>
      </c>
      <c r="D225" s="240" t="s">
        <v>2</v>
      </c>
      <c r="E225" s="240"/>
      <c r="F225" s="240"/>
      <c r="G225" s="240"/>
      <c r="H225" s="240"/>
    </row>
    <row r="226" spans="1:8" x14ac:dyDescent="0.35">
      <c r="A226" s="16" t="s">
        <v>56</v>
      </c>
      <c r="B226" s="225" t="str">
        <f>IF('STEP 2-WQv Calculation'!$B$4="","",'STEP 2-WQv Calculation'!$B$4)</f>
        <v/>
      </c>
      <c r="C226" s="4"/>
      <c r="D226" s="4"/>
      <c r="E226" s="4"/>
      <c r="F226" s="4"/>
      <c r="G226" s="4"/>
      <c r="H226" s="4"/>
    </row>
    <row r="227" spans="1:8" x14ac:dyDescent="0.35">
      <c r="A227" s="273" t="s">
        <v>243</v>
      </c>
      <c r="B227" s="273"/>
      <c r="C227" s="273"/>
      <c r="D227" s="273"/>
      <c r="E227" s="273"/>
      <c r="F227" s="273"/>
      <c r="G227" s="273"/>
      <c r="H227" s="273"/>
    </row>
    <row r="228" spans="1:8" ht="38.5" x14ac:dyDescent="0.35">
      <c r="A228" s="204" t="s">
        <v>60</v>
      </c>
      <c r="B228" s="205" t="s">
        <v>61</v>
      </c>
      <c r="C228" s="205" t="s">
        <v>62</v>
      </c>
      <c r="D228" s="205" t="s">
        <v>63</v>
      </c>
      <c r="E228" s="205" t="s">
        <v>64</v>
      </c>
      <c r="F228" s="205" t="s">
        <v>65</v>
      </c>
      <c r="G228" s="205" t="s">
        <v>244</v>
      </c>
      <c r="H228" s="206" t="s">
        <v>13</v>
      </c>
    </row>
    <row r="229" spans="1:8" x14ac:dyDescent="0.35">
      <c r="A229" s="218"/>
      <c r="B229" s="3" t="str">
        <f>IF($A229="","",(LOOKUP($A229,'STEP 2-WQv Calculation'!$A$8:$A$37,'STEP 2-WQv Calculation'!$B$8:$B$37)))</f>
        <v/>
      </c>
      <c r="C229" s="3" t="str">
        <f>IF($A229="","",(LOOKUP($A229,'STEP 2-WQv Calculation'!$A$8:$A$37,'STEP 2-WQv Calculation'!$C$8:$C$37)))</f>
        <v/>
      </c>
      <c r="D229" s="212" t="str">
        <f>IF($A229="","",(LOOKUP($A229,'STEP 2-WQv Calculation'!$A$8:$A$37,'STEP 2-WQv Calculation'!$D$8:$D$37)))</f>
        <v/>
      </c>
      <c r="E229" s="3" t="str">
        <f>IF($A229="","",(LOOKUP($A229,'STEP 2-WQv Calculation'!$A$8:$A$37,'STEP 2-WQv Calculation'!$E$8:$E$37)))</f>
        <v/>
      </c>
      <c r="F229" s="217" t="str">
        <f>IF($A229="","",(LOOKUP($A229,'STEP 2-WQv Calculation'!$A$8:$A$37,'STEP 2-WQv Calculation'!$F$8:$F$37)))</f>
        <v/>
      </c>
      <c r="G229" s="22">
        <f>'STEP 2-WQv Calculation'!B130</f>
        <v>0</v>
      </c>
      <c r="H229" s="198" t="str">
        <f>IF($A229="","",(LOOKUP($A229,'STEP 2-WQv Calculation'!$A$8:$A$37,'STEP 2-WQv Calculation'!$G$8:$G$37)))</f>
        <v/>
      </c>
    </row>
    <row r="230" spans="1:8" x14ac:dyDescent="0.35">
      <c r="A230" s="273" t="s">
        <v>226</v>
      </c>
      <c r="B230" s="273"/>
      <c r="C230" s="273"/>
      <c r="D230" s="273"/>
      <c r="E230" s="273"/>
      <c r="F230" s="273"/>
      <c r="G230" s="273"/>
      <c r="H230" s="273"/>
    </row>
    <row r="231" spans="1:8" x14ac:dyDescent="0.35">
      <c r="A231" s="325" t="s">
        <v>277</v>
      </c>
      <c r="B231" s="326"/>
      <c r="C231" s="327"/>
      <c r="D231" s="196" t="str">
        <f>IF(B229="","",IF((D246*D247)&gt;=(C229*43560),"No","Yes"))</f>
        <v/>
      </c>
      <c r="E231" s="322" t="str">
        <f>IF(D231="Yes","Does not meet design criteria","")</f>
        <v/>
      </c>
      <c r="F231" s="323"/>
      <c r="G231" s="323"/>
      <c r="H231" s="324"/>
    </row>
    <row r="232" spans="1:8" x14ac:dyDescent="0.35">
      <c r="A232" s="245" t="s">
        <v>247</v>
      </c>
      <c r="B232" s="245"/>
      <c r="C232" s="245"/>
      <c r="D232" s="211"/>
      <c r="E232" s="322" t="str">
        <f>IF(D232="","This practice cannot be used for hotspot treatment",IF(D232="Yes","Does not meet design criteria",""))</f>
        <v>This practice cannot be used for hotspot treatment</v>
      </c>
      <c r="F232" s="323"/>
      <c r="G232" s="323"/>
      <c r="H232" s="324"/>
    </row>
    <row r="233" spans="1:8" x14ac:dyDescent="0.35">
      <c r="A233" s="245" t="s">
        <v>278</v>
      </c>
      <c r="B233" s="245"/>
      <c r="C233" s="245"/>
      <c r="D233" s="211"/>
      <c r="E233" s="322" t="str">
        <f>IF(D233="Yes","Does not meet design criteria","")</f>
        <v/>
      </c>
      <c r="F233" s="323"/>
      <c r="G233" s="323"/>
      <c r="H233" s="324"/>
    </row>
    <row r="234" spans="1:8" x14ac:dyDescent="0.35">
      <c r="A234" s="245" t="s">
        <v>279</v>
      </c>
      <c r="B234" s="245"/>
      <c r="C234" s="245"/>
      <c r="D234" s="209"/>
      <c r="E234" s="322" t="str">
        <f>IF(D234&gt;10,"Does not meet design criteria","")</f>
        <v/>
      </c>
      <c r="F234" s="323"/>
      <c r="G234" s="323"/>
      <c r="H234" s="324"/>
    </row>
    <row r="235" spans="1:8" x14ac:dyDescent="0.35">
      <c r="A235" s="245" t="s">
        <v>280</v>
      </c>
      <c r="B235" s="245"/>
      <c r="C235" s="245"/>
      <c r="D235" s="211"/>
      <c r="E235" s="322"/>
      <c r="F235" s="323"/>
      <c r="G235" s="323"/>
      <c r="H235" s="324"/>
    </row>
    <row r="236" spans="1:8" x14ac:dyDescent="0.35">
      <c r="A236" s="245" t="s">
        <v>281</v>
      </c>
      <c r="B236" s="245"/>
      <c r="C236" s="245"/>
      <c r="D236" s="328"/>
      <c r="E236" s="316" t="str">
        <f>IF(D236&gt;10,"Does not meet design criteria","")</f>
        <v/>
      </c>
      <c r="F236" s="317"/>
      <c r="G236" s="317"/>
      <c r="H236" s="318"/>
    </row>
    <row r="237" spans="1:8" x14ac:dyDescent="0.35">
      <c r="A237" s="245"/>
      <c r="B237" s="245"/>
      <c r="C237" s="245"/>
      <c r="D237" s="329"/>
      <c r="E237" s="319"/>
      <c r="F237" s="320"/>
      <c r="G237" s="320"/>
      <c r="H237" s="321"/>
    </row>
    <row r="238" spans="1:8" x14ac:dyDescent="0.35">
      <c r="A238" s="245" t="s">
        <v>282</v>
      </c>
      <c r="B238" s="245"/>
      <c r="C238" s="245"/>
      <c r="D238" s="211"/>
      <c r="E238" s="322"/>
      <c r="F238" s="323"/>
      <c r="G238" s="323"/>
      <c r="H238" s="324"/>
    </row>
    <row r="239" spans="1:8" x14ac:dyDescent="0.35">
      <c r="A239" s="242" t="s">
        <v>283</v>
      </c>
      <c r="B239" s="243"/>
      <c r="C239" s="244"/>
      <c r="D239" s="59"/>
      <c r="E239" s="322" t="str">
        <f>IF(D239&gt;20,"Does not meet design criteria","")</f>
        <v/>
      </c>
      <c r="F239" s="323"/>
      <c r="G239" s="323"/>
      <c r="H239" s="324"/>
    </row>
    <row r="240" spans="1:8" x14ac:dyDescent="0.35">
      <c r="A240" s="242" t="s">
        <v>284</v>
      </c>
      <c r="B240" s="243"/>
      <c r="C240" s="244"/>
      <c r="D240" s="59"/>
      <c r="E240" s="322" t="str">
        <f>IF(D240&gt;6,"Does not meet design criteria","")</f>
        <v/>
      </c>
      <c r="F240" s="323"/>
      <c r="G240" s="323"/>
      <c r="H240" s="324"/>
    </row>
    <row r="241" spans="1:8" x14ac:dyDescent="0.35">
      <c r="A241" s="242" t="s">
        <v>285</v>
      </c>
      <c r="B241" s="243"/>
      <c r="C241" s="244"/>
      <c r="D241" s="59"/>
      <c r="E241" s="322" t="str">
        <f>IF(D241&gt;3,"Does not meet design criteria","")</f>
        <v/>
      </c>
      <c r="F241" s="323"/>
      <c r="G241" s="323"/>
      <c r="H241" s="324"/>
    </row>
    <row r="242" spans="1:8" x14ac:dyDescent="0.35">
      <c r="A242" s="242" t="s">
        <v>286</v>
      </c>
      <c r="B242" s="243"/>
      <c r="C242" s="244"/>
      <c r="D242" s="59"/>
      <c r="E242" s="322" t="str">
        <f>IF(D242="","",IF(D242&lt;36,"Does not meet design criteria",""))</f>
        <v/>
      </c>
      <c r="F242" s="323"/>
      <c r="G242" s="323"/>
      <c r="H242" s="324"/>
    </row>
    <row r="243" spans="1:8" x14ac:dyDescent="0.35">
      <c r="A243" s="242" t="s">
        <v>287</v>
      </c>
      <c r="B243" s="243"/>
      <c r="C243" s="244"/>
      <c r="D243" s="59"/>
      <c r="E243" s="322" t="str">
        <f>IF(D243="","",IF(D243&lt;5,"Does not meet design criteria",""))</f>
        <v/>
      </c>
      <c r="F243" s="323"/>
      <c r="G243" s="323"/>
      <c r="H243" s="324"/>
    </row>
    <row r="244" spans="1:8" x14ac:dyDescent="0.35">
      <c r="A244" s="242" t="s">
        <v>288</v>
      </c>
      <c r="B244" s="243"/>
      <c r="C244" s="244"/>
      <c r="D244" s="59"/>
      <c r="E244" s="322" t="str">
        <f>IF(D244="","",IF(D244&lt;5,"Does not meet design criteria",""))</f>
        <v/>
      </c>
      <c r="F244" s="323"/>
      <c r="G244" s="323"/>
      <c r="H244" s="324"/>
    </row>
    <row r="245" spans="1:8" x14ac:dyDescent="0.35">
      <c r="A245" s="242" t="s">
        <v>289</v>
      </c>
      <c r="B245" s="243"/>
      <c r="C245" s="244"/>
      <c r="D245" s="59"/>
      <c r="E245" s="322"/>
      <c r="F245" s="323"/>
      <c r="G245" s="323"/>
      <c r="H245" s="324"/>
    </row>
    <row r="246" spans="1:8" x14ac:dyDescent="0.35">
      <c r="A246" s="242" t="s">
        <v>290</v>
      </c>
      <c r="B246" s="243"/>
      <c r="C246" s="244"/>
      <c r="D246" s="134">
        <f>IF(D245&lt;16,3.14*D245^2/4/2,IF(D245&gt;=16,100))</f>
        <v>0</v>
      </c>
      <c r="E246" s="322"/>
      <c r="F246" s="323"/>
      <c r="G246" s="323"/>
      <c r="H246" s="324"/>
    </row>
    <row r="247" spans="1:8" x14ac:dyDescent="0.35">
      <c r="A247" s="242" t="s">
        <v>291</v>
      </c>
      <c r="B247" s="243"/>
      <c r="C247" s="244"/>
      <c r="D247" s="59"/>
      <c r="E247" s="322"/>
      <c r="F247" s="323"/>
      <c r="G247" s="323"/>
      <c r="H247" s="324"/>
    </row>
    <row r="248" spans="1:8" x14ac:dyDescent="0.35">
      <c r="A248" s="242" t="s">
        <v>292</v>
      </c>
      <c r="B248" s="243"/>
      <c r="C248" s="244"/>
      <c r="D248" s="134">
        <f>D246*D247</f>
        <v>0</v>
      </c>
      <c r="E248" s="322"/>
      <c r="F248" s="323"/>
      <c r="G248" s="323"/>
      <c r="H248" s="324"/>
    </row>
    <row r="249" spans="1:8" x14ac:dyDescent="0.35">
      <c r="A249" s="236" t="s">
        <v>276</v>
      </c>
      <c r="B249" s="237"/>
      <c r="C249" s="237"/>
      <c r="D249" s="237"/>
      <c r="E249" s="237"/>
      <c r="F249" s="237"/>
      <c r="G249" s="237"/>
      <c r="H249" s="238"/>
    </row>
    <row r="250" spans="1:8" x14ac:dyDescent="0.35">
      <c r="A250" s="239" t="s">
        <v>241</v>
      </c>
      <c r="B250" s="239"/>
      <c r="C250" s="9" t="str">
        <f>IF(F229="","",IF(B229="",0,IF(D231="YES",0,IF(D232="YES",0,IF(D233="YES",0,IF(D234&gt;10,0,IF(D236&gt;10,0,IF(D239&gt;20,0,IF(D240&gt;6,0,IF(D241&gt;3,0,IF(D242&lt;36,0,IF(D243&lt;5,0,IF(D244&lt;5,0,F229)))))))))))))</f>
        <v/>
      </c>
      <c r="D250" s="240" t="s">
        <v>2</v>
      </c>
      <c r="E250" s="240"/>
      <c r="F250" s="240"/>
      <c r="G250" s="240"/>
      <c r="H250" s="240"/>
    </row>
  </sheetData>
  <sheetProtection algorithmName="SHA-512" hashValue="ghR2FgtXW53lvxdwzCx73cJ27l4fer93onpQUbiUj5XhUmi7BkP4XaN0pmJfTrLZ9zj5qIvNfxZBfEoB40S0ig==" saltValue="AxJ7eIIpk3tTjioBgXC8Sg==" spinCount="100000" sheet="1" formatColumns="0" formatRows="0"/>
  <mergeCells count="403">
    <mergeCell ref="A248:C248"/>
    <mergeCell ref="E248:H248"/>
    <mergeCell ref="A249:H249"/>
    <mergeCell ref="A250:B250"/>
    <mergeCell ref="D250:H250"/>
    <mergeCell ref="A243:C243"/>
    <mergeCell ref="E243:H243"/>
    <mergeCell ref="A244:C244"/>
    <mergeCell ref="E244:H244"/>
    <mergeCell ref="A245:C245"/>
    <mergeCell ref="E245:H245"/>
    <mergeCell ref="A246:C246"/>
    <mergeCell ref="E246:H246"/>
    <mergeCell ref="A247:C247"/>
    <mergeCell ref="E247:H247"/>
    <mergeCell ref="A238:C238"/>
    <mergeCell ref="E238:H238"/>
    <mergeCell ref="A239:C239"/>
    <mergeCell ref="E239:H239"/>
    <mergeCell ref="A240:C240"/>
    <mergeCell ref="E240:H240"/>
    <mergeCell ref="A241:C241"/>
    <mergeCell ref="E241:H241"/>
    <mergeCell ref="A242:C242"/>
    <mergeCell ref="E242:H242"/>
    <mergeCell ref="A232:C232"/>
    <mergeCell ref="E232:H232"/>
    <mergeCell ref="A233:C233"/>
    <mergeCell ref="E233:H233"/>
    <mergeCell ref="A234:C234"/>
    <mergeCell ref="E234:H234"/>
    <mergeCell ref="A235:C235"/>
    <mergeCell ref="E235:H235"/>
    <mergeCell ref="A236:C237"/>
    <mergeCell ref="D236:D237"/>
    <mergeCell ref="E236:H237"/>
    <mergeCell ref="A223:C223"/>
    <mergeCell ref="E223:H223"/>
    <mergeCell ref="A224:H224"/>
    <mergeCell ref="A225:B225"/>
    <mergeCell ref="D225:H225"/>
    <mergeCell ref="A227:H227"/>
    <mergeCell ref="A230:H230"/>
    <mergeCell ref="A231:C231"/>
    <mergeCell ref="E231:H231"/>
    <mergeCell ref="A218:C218"/>
    <mergeCell ref="E218:H218"/>
    <mergeCell ref="A219:C219"/>
    <mergeCell ref="E219:H219"/>
    <mergeCell ref="A220:C220"/>
    <mergeCell ref="E220:H220"/>
    <mergeCell ref="A221:C221"/>
    <mergeCell ref="E221:H221"/>
    <mergeCell ref="A222:C222"/>
    <mergeCell ref="E222:H222"/>
    <mergeCell ref="A213:C213"/>
    <mergeCell ref="E213:H213"/>
    <mergeCell ref="A214:C214"/>
    <mergeCell ref="E214:H214"/>
    <mergeCell ref="A215:C215"/>
    <mergeCell ref="E215:H215"/>
    <mergeCell ref="A216:C216"/>
    <mergeCell ref="E216:H216"/>
    <mergeCell ref="A217:C217"/>
    <mergeCell ref="E217:H217"/>
    <mergeCell ref="A207:C207"/>
    <mergeCell ref="E207:H207"/>
    <mergeCell ref="A208:C208"/>
    <mergeCell ref="E208:H208"/>
    <mergeCell ref="A209:C209"/>
    <mergeCell ref="E209:H209"/>
    <mergeCell ref="A210:C210"/>
    <mergeCell ref="E210:H210"/>
    <mergeCell ref="A211:C212"/>
    <mergeCell ref="D211:D212"/>
    <mergeCell ref="E211:H212"/>
    <mergeCell ref="A198:C198"/>
    <mergeCell ref="E198:H198"/>
    <mergeCell ref="A199:H199"/>
    <mergeCell ref="A200:B200"/>
    <mergeCell ref="D200:H200"/>
    <mergeCell ref="A202:H202"/>
    <mergeCell ref="A205:H205"/>
    <mergeCell ref="A206:C206"/>
    <mergeCell ref="E206:H206"/>
    <mergeCell ref="A193:C193"/>
    <mergeCell ref="E193:H193"/>
    <mergeCell ref="A194:C194"/>
    <mergeCell ref="E194:H194"/>
    <mergeCell ref="A195:C195"/>
    <mergeCell ref="E195:H195"/>
    <mergeCell ref="A196:C196"/>
    <mergeCell ref="E196:H196"/>
    <mergeCell ref="A197:C197"/>
    <mergeCell ref="E197:H197"/>
    <mergeCell ref="A188:C188"/>
    <mergeCell ref="E188:H188"/>
    <mergeCell ref="A189:C189"/>
    <mergeCell ref="E189:H189"/>
    <mergeCell ref="A190:C190"/>
    <mergeCell ref="E190:H190"/>
    <mergeCell ref="A191:C191"/>
    <mergeCell ref="E191:H191"/>
    <mergeCell ref="A192:C192"/>
    <mergeCell ref="E192:H192"/>
    <mergeCell ref="A183:C183"/>
    <mergeCell ref="E183:H183"/>
    <mergeCell ref="A184:C184"/>
    <mergeCell ref="E184:H184"/>
    <mergeCell ref="A185:C185"/>
    <mergeCell ref="E185:H185"/>
    <mergeCell ref="A186:C187"/>
    <mergeCell ref="D186:D187"/>
    <mergeCell ref="E186:H187"/>
    <mergeCell ref="A174:H174"/>
    <mergeCell ref="A175:B175"/>
    <mergeCell ref="D175:H175"/>
    <mergeCell ref="A177:H177"/>
    <mergeCell ref="A180:H180"/>
    <mergeCell ref="A181:C181"/>
    <mergeCell ref="E181:H181"/>
    <mergeCell ref="A182:C182"/>
    <mergeCell ref="E182:H182"/>
    <mergeCell ref="A169:C169"/>
    <mergeCell ref="E169:H169"/>
    <mergeCell ref="A170:C170"/>
    <mergeCell ref="E170:H170"/>
    <mergeCell ref="A171:C171"/>
    <mergeCell ref="E171:H171"/>
    <mergeCell ref="A172:C172"/>
    <mergeCell ref="E172:H172"/>
    <mergeCell ref="A173:C173"/>
    <mergeCell ref="E173:H173"/>
    <mergeCell ref="A164:C164"/>
    <mergeCell ref="E164:H164"/>
    <mergeCell ref="A165:C165"/>
    <mergeCell ref="E165:H165"/>
    <mergeCell ref="A166:C166"/>
    <mergeCell ref="E166:H166"/>
    <mergeCell ref="A167:C167"/>
    <mergeCell ref="E167:H167"/>
    <mergeCell ref="A168:C168"/>
    <mergeCell ref="E168:H168"/>
    <mergeCell ref="A159:C159"/>
    <mergeCell ref="E159:H159"/>
    <mergeCell ref="A160:C160"/>
    <mergeCell ref="E160:H160"/>
    <mergeCell ref="A161:C162"/>
    <mergeCell ref="D161:D162"/>
    <mergeCell ref="E161:H162"/>
    <mergeCell ref="A163:C163"/>
    <mergeCell ref="E163:H163"/>
    <mergeCell ref="A150:B150"/>
    <mergeCell ref="D150:H150"/>
    <mergeCell ref="A152:H152"/>
    <mergeCell ref="A155:H155"/>
    <mergeCell ref="A156:C156"/>
    <mergeCell ref="E156:H156"/>
    <mergeCell ref="A157:C157"/>
    <mergeCell ref="E157:H157"/>
    <mergeCell ref="A158:C158"/>
    <mergeCell ref="E158:H158"/>
    <mergeCell ref="A145:C145"/>
    <mergeCell ref="E145:H145"/>
    <mergeCell ref="A146:C146"/>
    <mergeCell ref="E146:H146"/>
    <mergeCell ref="A147:C147"/>
    <mergeCell ref="E147:H147"/>
    <mergeCell ref="A148:C148"/>
    <mergeCell ref="E148:H148"/>
    <mergeCell ref="A149:H149"/>
    <mergeCell ref="A140:C140"/>
    <mergeCell ref="E140:H140"/>
    <mergeCell ref="A141:C141"/>
    <mergeCell ref="E141:H141"/>
    <mergeCell ref="A142:C142"/>
    <mergeCell ref="E142:H142"/>
    <mergeCell ref="A143:C143"/>
    <mergeCell ref="E143:H143"/>
    <mergeCell ref="A144:C144"/>
    <mergeCell ref="E144:H144"/>
    <mergeCell ref="A135:C135"/>
    <mergeCell ref="E135:H135"/>
    <mergeCell ref="A136:C137"/>
    <mergeCell ref="D136:D137"/>
    <mergeCell ref="E136:H137"/>
    <mergeCell ref="A138:C138"/>
    <mergeCell ref="E138:H138"/>
    <mergeCell ref="A139:C139"/>
    <mergeCell ref="E139:H139"/>
    <mergeCell ref="A127:H127"/>
    <mergeCell ref="A130:H130"/>
    <mergeCell ref="A131:C131"/>
    <mergeCell ref="E131:H131"/>
    <mergeCell ref="A132:C132"/>
    <mergeCell ref="E132:H132"/>
    <mergeCell ref="A133:C133"/>
    <mergeCell ref="E133:H133"/>
    <mergeCell ref="A134:C134"/>
    <mergeCell ref="E134:H134"/>
    <mergeCell ref="I1:J1"/>
    <mergeCell ref="I2:J2"/>
    <mergeCell ref="I3:J3"/>
    <mergeCell ref="A123:C123"/>
    <mergeCell ref="E123:H123"/>
    <mergeCell ref="A124:H124"/>
    <mergeCell ref="A125:B125"/>
    <mergeCell ref="A120:C120"/>
    <mergeCell ref="E120:H120"/>
    <mergeCell ref="A121:C121"/>
    <mergeCell ref="E121:H121"/>
    <mergeCell ref="A122:C122"/>
    <mergeCell ref="E122:H122"/>
    <mergeCell ref="A117:C117"/>
    <mergeCell ref="E117:H117"/>
    <mergeCell ref="A118:C118"/>
    <mergeCell ref="E118:H118"/>
    <mergeCell ref="A119:C119"/>
    <mergeCell ref="A110:C110"/>
    <mergeCell ref="E110:H110"/>
    <mergeCell ref="A102:H102"/>
    <mergeCell ref="A105:H105"/>
    <mergeCell ref="A106:C106"/>
    <mergeCell ref="E106:H106"/>
    <mergeCell ref="E119:H119"/>
    <mergeCell ref="A114:C114"/>
    <mergeCell ref="E114:H114"/>
    <mergeCell ref="A115:C115"/>
    <mergeCell ref="E115:H115"/>
    <mergeCell ref="A116:C116"/>
    <mergeCell ref="E116:H116"/>
    <mergeCell ref="A111:C112"/>
    <mergeCell ref="D111:D112"/>
    <mergeCell ref="E111:H112"/>
    <mergeCell ref="A113:C113"/>
    <mergeCell ref="E113:H113"/>
    <mergeCell ref="A98:C98"/>
    <mergeCell ref="E98:H98"/>
    <mergeCell ref="A99:H99"/>
    <mergeCell ref="A100:B100"/>
    <mergeCell ref="D100:H100"/>
    <mergeCell ref="A108:C108"/>
    <mergeCell ref="E108:H108"/>
    <mergeCell ref="A109:C109"/>
    <mergeCell ref="E109:H109"/>
    <mergeCell ref="A107:C107"/>
    <mergeCell ref="E107:H107"/>
    <mergeCell ref="A95:C95"/>
    <mergeCell ref="E95:H95"/>
    <mergeCell ref="A96:C96"/>
    <mergeCell ref="E96:H96"/>
    <mergeCell ref="A97:C97"/>
    <mergeCell ref="E97:H97"/>
    <mergeCell ref="A92:C92"/>
    <mergeCell ref="E92:H92"/>
    <mergeCell ref="A93:C93"/>
    <mergeCell ref="E93:H93"/>
    <mergeCell ref="A94:C94"/>
    <mergeCell ref="E94:H94"/>
    <mergeCell ref="A90:C90"/>
    <mergeCell ref="E90:H90"/>
    <mergeCell ref="A91:C91"/>
    <mergeCell ref="E91:H91"/>
    <mergeCell ref="A86:C87"/>
    <mergeCell ref="D86:D87"/>
    <mergeCell ref="E86:H87"/>
    <mergeCell ref="A88:C88"/>
    <mergeCell ref="E88:H88"/>
    <mergeCell ref="A85:C85"/>
    <mergeCell ref="E85:H85"/>
    <mergeCell ref="A77:H77"/>
    <mergeCell ref="A80:H80"/>
    <mergeCell ref="A81:C81"/>
    <mergeCell ref="E81:H81"/>
    <mergeCell ref="A82:C82"/>
    <mergeCell ref="E82:H82"/>
    <mergeCell ref="A89:C89"/>
    <mergeCell ref="E89:H89"/>
    <mergeCell ref="A73:C73"/>
    <mergeCell ref="E73:H73"/>
    <mergeCell ref="A74:H74"/>
    <mergeCell ref="A75:B75"/>
    <mergeCell ref="D75:H75"/>
    <mergeCell ref="A83:C83"/>
    <mergeCell ref="E83:H83"/>
    <mergeCell ref="A84:C84"/>
    <mergeCell ref="E84:H84"/>
    <mergeCell ref="A70:C70"/>
    <mergeCell ref="E70:H70"/>
    <mergeCell ref="A71:C71"/>
    <mergeCell ref="E71:H71"/>
    <mergeCell ref="A72:C72"/>
    <mergeCell ref="E72:H72"/>
    <mergeCell ref="A67:C67"/>
    <mergeCell ref="E67:H67"/>
    <mergeCell ref="A68:C68"/>
    <mergeCell ref="E68:H68"/>
    <mergeCell ref="A69:C69"/>
    <mergeCell ref="E69:H69"/>
    <mergeCell ref="A65:C65"/>
    <mergeCell ref="E65:H65"/>
    <mergeCell ref="A66:C66"/>
    <mergeCell ref="E66:H66"/>
    <mergeCell ref="A61:C62"/>
    <mergeCell ref="D61:D62"/>
    <mergeCell ref="E61:H62"/>
    <mergeCell ref="A63:C63"/>
    <mergeCell ref="E63:H63"/>
    <mergeCell ref="A60:C60"/>
    <mergeCell ref="E60:H60"/>
    <mergeCell ref="A52:H52"/>
    <mergeCell ref="A55:H55"/>
    <mergeCell ref="A56:C56"/>
    <mergeCell ref="E56:H56"/>
    <mergeCell ref="A57:C57"/>
    <mergeCell ref="E57:H57"/>
    <mergeCell ref="A64:C64"/>
    <mergeCell ref="E64:H64"/>
    <mergeCell ref="A48:C48"/>
    <mergeCell ref="E48:H48"/>
    <mergeCell ref="A49:H49"/>
    <mergeCell ref="A50:B50"/>
    <mergeCell ref="D50:H50"/>
    <mergeCell ref="A58:C58"/>
    <mergeCell ref="E58:H58"/>
    <mergeCell ref="A59:C59"/>
    <mergeCell ref="E59:H59"/>
    <mergeCell ref="A46:C46"/>
    <mergeCell ref="E46:H46"/>
    <mergeCell ref="A47:C47"/>
    <mergeCell ref="E47:H47"/>
    <mergeCell ref="A42:C42"/>
    <mergeCell ref="E42:H42"/>
    <mergeCell ref="A43:C43"/>
    <mergeCell ref="E43:H43"/>
    <mergeCell ref="A44:C44"/>
    <mergeCell ref="E44:H44"/>
    <mergeCell ref="A41:C41"/>
    <mergeCell ref="E41:H41"/>
    <mergeCell ref="A36:C37"/>
    <mergeCell ref="D36:D37"/>
    <mergeCell ref="E36:H37"/>
    <mergeCell ref="A38:C38"/>
    <mergeCell ref="E38:H38"/>
    <mergeCell ref="A45:C45"/>
    <mergeCell ref="E45:H45"/>
    <mergeCell ref="A27:H27"/>
    <mergeCell ref="A30:H30"/>
    <mergeCell ref="A31:C31"/>
    <mergeCell ref="E31:H31"/>
    <mergeCell ref="A32:C32"/>
    <mergeCell ref="E32:H32"/>
    <mergeCell ref="A39:C39"/>
    <mergeCell ref="E39:H39"/>
    <mergeCell ref="A40:C40"/>
    <mergeCell ref="E40:H40"/>
    <mergeCell ref="A2:H2"/>
    <mergeCell ref="A5:H5"/>
    <mergeCell ref="A7:C7"/>
    <mergeCell ref="E7:H7"/>
    <mergeCell ref="A6:C6"/>
    <mergeCell ref="E6:H6"/>
    <mergeCell ref="A24:H24"/>
    <mergeCell ref="A25:B25"/>
    <mergeCell ref="D25:H25"/>
    <mergeCell ref="A8:C8"/>
    <mergeCell ref="A9:C9"/>
    <mergeCell ref="A10:C10"/>
    <mergeCell ref="E8:H8"/>
    <mergeCell ref="E9:H9"/>
    <mergeCell ref="E10:H10"/>
    <mergeCell ref="A13:C13"/>
    <mergeCell ref="A11:C12"/>
    <mergeCell ref="A15:C15"/>
    <mergeCell ref="E13:H13"/>
    <mergeCell ref="E15:H15"/>
    <mergeCell ref="D11:D12"/>
    <mergeCell ref="A16:C16"/>
    <mergeCell ref="E16:H16"/>
    <mergeCell ref="D125:H125"/>
    <mergeCell ref="E11:H12"/>
    <mergeCell ref="A14:C14"/>
    <mergeCell ref="E14:H14"/>
    <mergeCell ref="E22:H22"/>
    <mergeCell ref="A23:C23"/>
    <mergeCell ref="E23:H23"/>
    <mergeCell ref="A17:C17"/>
    <mergeCell ref="E17:H17"/>
    <mergeCell ref="A18:C18"/>
    <mergeCell ref="E18:H18"/>
    <mergeCell ref="A19:C19"/>
    <mergeCell ref="E19:H19"/>
    <mergeCell ref="A20:C20"/>
    <mergeCell ref="E20:H20"/>
    <mergeCell ref="A22:C22"/>
    <mergeCell ref="A21:C21"/>
    <mergeCell ref="E21:H21"/>
    <mergeCell ref="A33:C33"/>
    <mergeCell ref="E33:H33"/>
    <mergeCell ref="A34:C34"/>
    <mergeCell ref="E34:H34"/>
    <mergeCell ref="A35:C35"/>
    <mergeCell ref="E35:H35"/>
  </mergeCells>
  <dataValidations count="5">
    <dataValidation type="list" showInputMessage="1" showErrorMessage="1" promptTitle="Yes or No?" sqref="D10 D7:D8 D13 D60 D57:D58 D63 D85 D82:D83 D88 D35 D32:D33 D38 D110 D107:D108 D113 D135 D132:D133 D138 D160 D157:D158 D163 D185 D182:D183 D188 D210 D207:D208 D213 D235 D232:D233 D238" xr:uid="{00000000-0002-0000-1800-000000000000}">
      <formula1>YesNo</formula1>
    </dataValidation>
    <dataValidation type="list" showInputMessage="1" showErrorMessage="1" promptTitle="Choose Area" sqref="A79 A54 A4 A29 A104 A129 A154 A179 A204 A229" xr:uid="{00000000-0002-0000-1800-000001000000}">
      <formula1>CatchNo</formula1>
    </dataValidation>
    <dataValidation type="decimal" operator="greaterThan" allowBlank="1" showInputMessage="1" showErrorMessage="1" sqref="D11:D12 D9 D14:D20 D34 D36:D37 D39:D45 D59 D61:D62 D64:D70 D84 D86:D87 D89:D95 D109 D111:D112 D114:D120 D134 D136:D137 D139:D145 D159 D161:D162 D164:D170 D184 D186:D187 D189:D195 D209 D211:D212 D214:D220 D234 D236:D237 D239:D245" xr:uid="{E57D5349-E369-456F-B11B-C3BB6D7D5434}">
      <formula1>0</formula1>
    </dataValidation>
    <dataValidation type="whole" operator="greaterThanOrEqual" allowBlank="1" showInputMessage="1" showErrorMessage="1" sqref="D22" xr:uid="{E716E277-0AB6-40ED-94EA-9CBEC86689D0}">
      <formula1>0</formula1>
    </dataValidation>
    <dataValidation type="whole" operator="greaterThan" allowBlank="1" showInputMessage="1" showErrorMessage="1" sqref="D47 D72 D97 D122 D147 D172 D197 D222 D247" xr:uid="{C7DE699F-A130-467C-B3A1-E24312B497D6}">
      <formula1>0</formula1>
    </dataValidation>
  </dataValidations>
  <pageMargins left="0.5" right="0.5" top="0.75" bottom="0.5" header="0.3" footer="0.3"/>
  <pageSetup paperSize="278" orientation="portrait" r:id="rId1"/>
  <headerFooter>
    <oddHeader>&amp;C&amp;"Arial,Regular"&amp;18Tree Planting (RR-3)</oddHeader>
  </headerFooter>
  <rowBreaks count="10" manualBreakCount="10">
    <brk id="25" max="16383" man="1"/>
    <brk id="50" max="16383" man="1"/>
    <brk id="75" max="16383" man="1"/>
    <brk id="100" max="16383" man="1"/>
    <brk id="125" max="16383" man="1"/>
    <brk id="150" max="16383" man="1"/>
    <brk id="175" max="16383" man="1"/>
    <brk id="200" max="16383" man="1"/>
    <brk id="225" max="16383" man="1"/>
    <brk id="2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3731-1A68-4A8C-A007-102F6DE5197F}">
  <dimension ref="A1:P270"/>
  <sheetViews>
    <sheetView view="pageLayout" topLeftCell="A6" zoomScaleNormal="100" workbookViewId="0">
      <selection activeCell="C27" sqref="C27"/>
    </sheetView>
  </sheetViews>
  <sheetFormatPr defaultColWidth="9.1796875" defaultRowHeight="12.5" x14ac:dyDescent="0.25"/>
  <cols>
    <col min="1" max="2" width="12.7265625" style="4" customWidth="1"/>
    <col min="3" max="3" width="11.453125" style="4" customWidth="1"/>
    <col min="4" max="4" width="10.81640625" style="4" customWidth="1"/>
    <col min="5" max="5" width="6.453125" style="4" customWidth="1"/>
    <col min="6" max="6" width="8.54296875" style="4" customWidth="1"/>
    <col min="7" max="7" width="12.453125" style="4" customWidth="1"/>
    <col min="8" max="8" width="15.26953125" style="4" customWidth="1"/>
    <col min="9" max="9" width="14" style="4" customWidth="1"/>
    <col min="10" max="13" width="9.1796875" style="4" hidden="1" customWidth="1"/>
    <col min="14" max="14" width="12.1796875" style="4" bestFit="1" customWidth="1"/>
    <col min="15" max="16384" width="9.1796875" style="4"/>
  </cols>
  <sheetData>
    <row r="1" spans="1:16" s="34" customFormat="1" ht="15" customHeight="1" x14ac:dyDescent="0.3">
      <c r="A1" s="24" t="s">
        <v>56</v>
      </c>
      <c r="B1" s="23" t="str">
        <f>IF('STEP 2-WQv Calculation'!$B$4="","",'STEP 2-WQv Calculation'!$B$4)</f>
        <v/>
      </c>
      <c r="C1" s="31"/>
      <c r="D1" s="31"/>
      <c r="E1" s="32"/>
      <c r="F1" s="33"/>
      <c r="G1" s="33"/>
      <c r="H1" s="33"/>
    </row>
    <row r="2" spans="1:16" ht="15" customHeight="1" x14ac:dyDescent="0.25">
      <c r="A2" s="331" t="s">
        <v>293</v>
      </c>
      <c r="B2" s="332"/>
      <c r="C2" s="332"/>
      <c r="D2" s="332"/>
      <c r="E2" s="332"/>
      <c r="F2" s="332"/>
      <c r="G2" s="332"/>
      <c r="H2" s="333"/>
      <c r="I2" s="255" t="s">
        <v>219</v>
      </c>
      <c r="J2" s="256"/>
      <c r="K2" s="49">
        <f>SUM(B4,B36,B67,B98,B129)</f>
        <v>0</v>
      </c>
      <c r="L2" s="12" t="s">
        <v>223</v>
      </c>
      <c r="N2" s="49">
        <f>SUM(B4,B31,B58,B85,B112,B139,B166,B193,B220,B247)</f>
        <v>0</v>
      </c>
      <c r="O2" s="12" t="s">
        <v>223</v>
      </c>
    </row>
    <row r="3" spans="1:16" s="34" customFormat="1" ht="46.75" customHeight="1" x14ac:dyDescent="0.3">
      <c r="A3" s="204" t="s">
        <v>60</v>
      </c>
      <c r="B3" s="205" t="s">
        <v>61</v>
      </c>
      <c r="C3" s="205" t="s">
        <v>62</v>
      </c>
      <c r="D3" s="205" t="s">
        <v>63</v>
      </c>
      <c r="E3" s="205" t="s">
        <v>64</v>
      </c>
      <c r="F3" s="205" t="s">
        <v>65</v>
      </c>
      <c r="G3" s="205" t="s">
        <v>244</v>
      </c>
      <c r="H3" s="206" t="s">
        <v>13</v>
      </c>
      <c r="I3" s="255" t="s">
        <v>245</v>
      </c>
      <c r="J3" s="256"/>
      <c r="K3" s="28">
        <f>SUM(C4,C36,C67,C98,C129)</f>
        <v>0</v>
      </c>
      <c r="L3" s="12" t="s">
        <v>223</v>
      </c>
      <c r="M3" s="4"/>
      <c r="N3" s="21">
        <f>SUM(C4,C31,C58,C85,C112,C139,C166,C193,C220,C247)</f>
        <v>0</v>
      </c>
      <c r="O3" s="12" t="s">
        <v>223</v>
      </c>
      <c r="P3" s="4"/>
    </row>
    <row r="4" spans="1:16" ht="30.2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8">
        <f>SUM(C31,C63,C94,C125,C155)</f>
        <v>0</v>
      </c>
      <c r="L4" s="12" t="s">
        <v>223</v>
      </c>
      <c r="N4" s="28">
        <f>SUM(C27,C54,C81,C108,C135,C162,C189,C216,C243,C270)</f>
        <v>0</v>
      </c>
      <c r="O4" s="12" t="s">
        <v>2</v>
      </c>
    </row>
    <row r="5" spans="1:16" s="1" customFormat="1" ht="15" customHeight="1" x14ac:dyDescent="0.35">
      <c r="A5" s="273" t="s">
        <v>226</v>
      </c>
      <c r="B5" s="273"/>
      <c r="C5" s="273"/>
      <c r="D5" s="273"/>
      <c r="E5" s="273"/>
      <c r="F5" s="273"/>
      <c r="G5" s="273"/>
      <c r="H5" s="273"/>
      <c r="I5" s="4"/>
    </row>
    <row r="6" spans="1:16" s="1" customFormat="1" ht="26.5" customHeight="1" x14ac:dyDescent="0.35">
      <c r="A6" s="245" t="s">
        <v>247</v>
      </c>
      <c r="B6" s="245"/>
      <c r="C6" s="245"/>
      <c r="D6" s="211"/>
      <c r="E6" s="322" t="str">
        <f>IF(D6="","This practice cannot be used for hotspot treatment",IF(D6="Yes","Does not meet design criteria",""))</f>
        <v>This practice cannot be used for hotspot treatment</v>
      </c>
      <c r="F6" s="323"/>
      <c r="G6" s="323"/>
      <c r="H6" s="324"/>
      <c r="I6" s="4"/>
    </row>
    <row r="7" spans="1:16" s="1" customFormat="1" ht="15.65" customHeight="1" x14ac:dyDescent="0.35">
      <c r="A7" s="245" t="s">
        <v>279</v>
      </c>
      <c r="B7" s="245"/>
      <c r="C7" s="245"/>
      <c r="D7" s="209"/>
      <c r="E7" s="322" t="str">
        <f>IF(D7&gt;10,"Does not meet design criteria","")</f>
        <v/>
      </c>
      <c r="F7" s="323"/>
      <c r="G7" s="323"/>
      <c r="H7" s="324"/>
      <c r="I7" s="4"/>
    </row>
    <row r="8" spans="1:16" s="1" customFormat="1" ht="15.65" customHeight="1" x14ac:dyDescent="0.35">
      <c r="A8" s="245" t="s">
        <v>294</v>
      </c>
      <c r="B8" s="245"/>
      <c r="C8" s="245"/>
      <c r="D8" s="59"/>
      <c r="E8" s="322"/>
      <c r="F8" s="323"/>
      <c r="G8" s="323"/>
      <c r="H8" s="324"/>
      <c r="I8" s="4"/>
    </row>
    <row r="9" spans="1:16" s="1" customFormat="1" ht="30" customHeight="1" x14ac:dyDescent="0.35">
      <c r="A9" s="242" t="s">
        <v>295</v>
      </c>
      <c r="B9" s="243"/>
      <c r="C9" s="244"/>
      <c r="D9" s="60"/>
      <c r="E9" s="322" t="str">
        <f>IF(D9="","",IF(AND(D9&lt;0.5,D8&gt;1),"Underdrains required",""))</f>
        <v/>
      </c>
      <c r="F9" s="323"/>
      <c r="G9" s="323"/>
      <c r="H9" s="324"/>
      <c r="I9" s="4"/>
    </row>
    <row r="10" spans="1:16" s="1" customFormat="1" ht="15" customHeight="1" x14ac:dyDescent="0.35">
      <c r="A10" s="242" t="s">
        <v>296</v>
      </c>
      <c r="B10" s="243"/>
      <c r="C10" s="244"/>
      <c r="D10" s="59"/>
      <c r="E10" s="322" t="str">
        <f>IF(D10="","",IF(AND(D10&lt;2,D8&gt;1),"Does not meet criteria",""))</f>
        <v/>
      </c>
      <c r="F10" s="323"/>
      <c r="G10" s="323"/>
      <c r="H10" s="324"/>
      <c r="I10" s="4"/>
    </row>
    <row r="11" spans="1:16" s="1" customFormat="1" ht="15" customHeight="1" x14ac:dyDescent="0.35">
      <c r="A11" s="242" t="s">
        <v>297</v>
      </c>
      <c r="B11" s="243"/>
      <c r="C11" s="244"/>
      <c r="D11" s="59"/>
      <c r="E11" s="322" t="str">
        <f>IF(D11="","",IF(AND(D11&lt;2,D8&gt;1),"Does not meet criteria",""))</f>
        <v/>
      </c>
      <c r="F11" s="323"/>
      <c r="G11" s="323"/>
      <c r="H11" s="324"/>
      <c r="I11" s="4"/>
    </row>
    <row r="12" spans="1:16" s="1" customFormat="1" ht="14.5" x14ac:dyDescent="0.35">
      <c r="A12" s="242" t="s">
        <v>285</v>
      </c>
      <c r="B12" s="243"/>
      <c r="C12" s="244"/>
      <c r="D12" s="59"/>
      <c r="E12" s="322" t="str">
        <f>IF(D12&lt;3,"Does not meet design criteria","")</f>
        <v>Does not meet design criteria</v>
      </c>
      <c r="F12" s="323"/>
      <c r="G12" s="323"/>
      <c r="H12" s="324"/>
      <c r="I12" s="4"/>
    </row>
    <row r="13" spans="1:16" s="1" customFormat="1" ht="15.65" customHeight="1" x14ac:dyDescent="0.35">
      <c r="A13" s="242" t="s">
        <v>298</v>
      </c>
      <c r="B13" s="243"/>
      <c r="C13" s="244"/>
      <c r="D13" s="59"/>
      <c r="E13" s="322" t="str">
        <f>IF(D13="","",IF(D13&lt;5,"Does not meet design criteria",""))</f>
        <v/>
      </c>
      <c r="F13" s="323"/>
      <c r="G13" s="323"/>
      <c r="H13" s="324"/>
      <c r="I13" s="4"/>
    </row>
    <row r="14" spans="1:16" s="1" customFormat="1" ht="15.65" customHeight="1" x14ac:dyDescent="0.35">
      <c r="A14" s="242" t="s">
        <v>299</v>
      </c>
      <c r="B14" s="243"/>
      <c r="C14" s="244"/>
      <c r="D14" s="59"/>
      <c r="E14" s="322" t="str">
        <f>IF(D14="","",IF(D14&lt;5,"Does not meet design criteria",""))</f>
        <v/>
      </c>
      <c r="F14" s="323"/>
      <c r="G14" s="323"/>
      <c r="H14" s="324"/>
      <c r="I14" s="4"/>
    </row>
    <row r="15" spans="1:16" s="1" customFormat="1" ht="15.65" customHeight="1" x14ac:dyDescent="0.35">
      <c r="A15" s="242" t="s">
        <v>300</v>
      </c>
      <c r="B15" s="243"/>
      <c r="C15" s="244"/>
      <c r="D15" s="59"/>
      <c r="E15" s="322" t="str">
        <f>IF(D15="","",IF(D15&lt;6,"Does not meet design criteria",IF(D9&lt;0.5,"10 inch min. required","")))</f>
        <v/>
      </c>
      <c r="F15" s="323"/>
      <c r="G15" s="323"/>
      <c r="H15" s="324"/>
      <c r="I15" s="4"/>
    </row>
    <row r="16" spans="1:16" s="1" customFormat="1" ht="15.65" customHeight="1" x14ac:dyDescent="0.35">
      <c r="A16" s="242" t="s">
        <v>301</v>
      </c>
      <c r="B16" s="243"/>
      <c r="C16" s="244"/>
      <c r="D16" s="59"/>
      <c r="E16" s="322" t="str">
        <f>IF(D16&gt;30,"Does not meet design criteria","")</f>
        <v/>
      </c>
      <c r="F16" s="323"/>
      <c r="G16" s="323"/>
      <c r="H16" s="324"/>
      <c r="I16" s="4"/>
    </row>
    <row r="17" spans="1:16" ht="15" customHeight="1" x14ac:dyDescent="0.25">
      <c r="A17" s="236" t="s">
        <v>232</v>
      </c>
      <c r="B17" s="237"/>
      <c r="C17" s="237"/>
      <c r="D17" s="237"/>
      <c r="E17" s="237"/>
      <c r="F17" s="237"/>
      <c r="G17" s="237"/>
      <c r="H17" s="238"/>
    </row>
    <row r="18" spans="1:16" s="34" customFormat="1" ht="15" customHeight="1" x14ac:dyDescent="0.3">
      <c r="A18" s="35"/>
      <c r="B18" s="36"/>
      <c r="C18" s="36"/>
      <c r="D18" s="37"/>
      <c r="E18" s="302" t="s">
        <v>256</v>
      </c>
      <c r="F18" s="302"/>
      <c r="G18" s="38" t="s">
        <v>257</v>
      </c>
      <c r="H18" s="38" t="s">
        <v>258</v>
      </c>
      <c r="I18" s="4"/>
      <c r="J18" s="4"/>
      <c r="K18" s="4"/>
      <c r="L18" s="4"/>
      <c r="M18" s="4"/>
      <c r="N18" s="4"/>
      <c r="O18" s="4"/>
      <c r="P18" s="4"/>
    </row>
    <row r="19" spans="1:16" ht="15" customHeight="1" x14ac:dyDescent="0.25">
      <c r="A19" s="289" t="s">
        <v>302</v>
      </c>
      <c r="B19" s="289"/>
      <c r="C19" s="289"/>
      <c r="D19" s="198" t="s">
        <v>303</v>
      </c>
      <c r="E19" s="334" t="str">
        <f>F4</f>
        <v/>
      </c>
      <c r="F19" s="334"/>
      <c r="G19" s="193" t="s">
        <v>2</v>
      </c>
      <c r="H19" s="219"/>
    </row>
    <row r="20" spans="1:16" ht="27" customHeight="1" x14ac:dyDescent="0.25">
      <c r="A20" s="289" t="s">
        <v>304</v>
      </c>
      <c r="B20" s="289"/>
      <c r="C20" s="289"/>
      <c r="D20" s="198" t="s">
        <v>305</v>
      </c>
      <c r="E20" s="330"/>
      <c r="F20" s="330"/>
      <c r="G20" s="193" t="s">
        <v>271</v>
      </c>
      <c r="H20" s="219" t="str">
        <f>IF(E20&lt;3,"Does not meet design criteria","")</f>
        <v>Does not meet design criteria</v>
      </c>
    </row>
    <row r="21" spans="1:16" ht="15" customHeight="1" x14ac:dyDescent="0.25">
      <c r="A21" s="266" t="s">
        <v>306</v>
      </c>
      <c r="B21" s="267"/>
      <c r="C21" s="268"/>
      <c r="D21" s="198" t="s">
        <v>307</v>
      </c>
      <c r="E21" s="289">
        <v>1</v>
      </c>
      <c r="F21" s="289"/>
      <c r="G21" s="193" t="s">
        <v>308</v>
      </c>
      <c r="H21" s="219" t="str">
        <f>IF(E21&gt;1,"Sizing as Filter","")</f>
        <v/>
      </c>
    </row>
    <row r="22" spans="1:16" x14ac:dyDescent="0.25">
      <c r="A22" s="289" t="s">
        <v>309</v>
      </c>
      <c r="B22" s="289"/>
      <c r="C22" s="289"/>
      <c r="D22" s="198" t="s">
        <v>310</v>
      </c>
      <c r="E22" s="330"/>
      <c r="F22" s="330"/>
      <c r="G22" s="193" t="s">
        <v>271</v>
      </c>
      <c r="H22" s="219" t="str">
        <f>IF(E22&gt;0.5,"Does not meet sizing criteria","")</f>
        <v/>
      </c>
    </row>
    <row r="23" spans="1:16" ht="15" customHeight="1" x14ac:dyDescent="0.25">
      <c r="A23" s="289" t="s">
        <v>311</v>
      </c>
      <c r="B23" s="289"/>
      <c r="C23" s="289"/>
      <c r="D23" s="198" t="s">
        <v>312</v>
      </c>
      <c r="E23" s="289">
        <v>2</v>
      </c>
      <c r="F23" s="289"/>
      <c r="G23" s="193" t="s">
        <v>313</v>
      </c>
      <c r="H23" s="219"/>
    </row>
    <row r="24" spans="1:16" ht="15" customHeight="1" x14ac:dyDescent="0.25">
      <c r="A24" s="266" t="s">
        <v>314</v>
      </c>
      <c r="B24" s="267"/>
      <c r="C24" s="268"/>
      <c r="D24" s="198" t="s">
        <v>315</v>
      </c>
      <c r="E24" s="308" t="e">
        <f>ROUND((E19*E20)/(E21*(E22+E20)*E23),0)</f>
        <v>#VALUE!</v>
      </c>
      <c r="F24" s="308"/>
      <c r="G24" s="193" t="s">
        <v>316</v>
      </c>
      <c r="H24" s="219"/>
    </row>
    <row r="25" spans="1:16" ht="29.5" customHeight="1" x14ac:dyDescent="0.25">
      <c r="A25" s="266" t="s">
        <v>317</v>
      </c>
      <c r="B25" s="267"/>
      <c r="C25" s="268"/>
      <c r="D25" s="198" t="s">
        <v>315</v>
      </c>
      <c r="E25" s="308">
        <f>D13*D14*D8</f>
        <v>0</v>
      </c>
      <c r="F25" s="308"/>
      <c r="G25" s="193" t="s">
        <v>316</v>
      </c>
      <c r="H25" s="219" t="str">
        <f>IF(E25="","",IF(E25=0,"",IF(E25&lt;E24,"Does not meet sizing criteria","")))</f>
        <v/>
      </c>
    </row>
    <row r="26" spans="1:16" ht="15" customHeight="1" x14ac:dyDescent="0.25">
      <c r="A26" s="236" t="s">
        <v>276</v>
      </c>
      <c r="B26" s="237"/>
      <c r="C26" s="237"/>
      <c r="D26" s="237"/>
      <c r="E26" s="237"/>
      <c r="F26" s="237"/>
      <c r="G26" s="237"/>
      <c r="H26" s="238"/>
    </row>
    <row r="27" spans="1:16" s="34" customFormat="1" ht="30" customHeight="1" x14ac:dyDescent="0.3">
      <c r="A27" s="335" t="s">
        <v>241</v>
      </c>
      <c r="B27" s="335"/>
      <c r="C27" s="9" t="str">
        <f>IF(F4="","",IF(D6="YES",0,IF(D7&gt;10,0,IF(AND(D10&lt;2,D8&gt;1),0,IF(AND(D11&lt;2,D8&gt;1),0,IF(D12&lt;3,0,IF(D13&lt;5,0,IF(D14&lt;5,0,IF(D15&lt;6,0,IF(D16&gt;30,0,IF(E20&lt;3,0,IF(E22&gt;0.5,0,IF(E25&lt;E24,0,IF(D9&lt;0.5,F4*0.4,F4*1))))))))))))))</f>
        <v/>
      </c>
      <c r="D27" s="310" t="s">
        <v>2</v>
      </c>
      <c r="E27" s="311"/>
      <c r="F27" s="311"/>
      <c r="G27" s="311"/>
      <c r="H27" s="312"/>
      <c r="I27" s="4"/>
      <c r="J27" s="4"/>
      <c r="K27" s="4"/>
      <c r="L27" s="4"/>
      <c r="M27" s="4"/>
      <c r="N27" s="4"/>
      <c r="O27" s="4"/>
      <c r="P27" s="4"/>
    </row>
    <row r="28" spans="1:16" ht="13.15" customHeight="1" x14ac:dyDescent="0.3">
      <c r="A28" s="24" t="s">
        <v>56</v>
      </c>
      <c r="B28" s="23" t="str">
        <f>IF('STEP 2-WQv Calculation'!$B$4="","",'STEP 2-WQv Calculation'!$B$4)</f>
        <v/>
      </c>
      <c r="C28" s="31"/>
      <c r="D28" s="31"/>
      <c r="E28" s="32"/>
      <c r="F28" s="33"/>
      <c r="G28" s="33"/>
      <c r="H28" s="33"/>
    </row>
    <row r="29" spans="1:16" ht="13.15" customHeight="1" x14ac:dyDescent="0.25">
      <c r="A29" s="331" t="s">
        <v>293</v>
      </c>
      <c r="B29" s="332"/>
      <c r="C29" s="332"/>
      <c r="D29" s="332"/>
      <c r="E29" s="332"/>
      <c r="F29" s="332"/>
      <c r="G29" s="332"/>
      <c r="H29" s="333"/>
    </row>
    <row r="30" spans="1:16" ht="39" customHeight="1" x14ac:dyDescent="0.25">
      <c r="A30" s="204" t="s">
        <v>60</v>
      </c>
      <c r="B30" s="205" t="s">
        <v>61</v>
      </c>
      <c r="C30" s="205" t="s">
        <v>62</v>
      </c>
      <c r="D30" s="205" t="s">
        <v>63</v>
      </c>
      <c r="E30" s="205" t="s">
        <v>64</v>
      </c>
      <c r="F30" s="205" t="s">
        <v>65</v>
      </c>
      <c r="G30" s="205" t="s">
        <v>244</v>
      </c>
      <c r="H30" s="206" t="s">
        <v>13</v>
      </c>
    </row>
    <row r="31" spans="1:16" x14ac:dyDescent="0.25">
      <c r="A31" s="17"/>
      <c r="B31" s="18" t="str">
        <f>IF($A31="","",(LOOKUP($A31,'STEP 2-WQv Calculation'!$A$8:$A$37,'STEP 2-WQv Calculation'!$B$8:$B$37)))</f>
        <v/>
      </c>
      <c r="C31" s="18" t="str">
        <f>IF($A31="","",(LOOKUP($A31,'STEP 2-WQv Calculation'!$A$8:$A$37,'STEP 2-WQv Calculation'!$C$8:$C$37)))</f>
        <v/>
      </c>
      <c r="D31" s="53" t="str">
        <f>IF($A31="","",(LOOKUP($A31,'STEP 2-WQv Calculation'!$A$8:$A$37,'STEP 2-WQv Calculation'!$D$8:$D$37)))</f>
        <v/>
      </c>
      <c r="E31" s="18" t="str">
        <f>IF($A31="","",(LOOKUP($A31,'STEP 2-WQv Calculation'!$A$8:$A$37,'STEP 2-WQv Calculation'!$E$8:$E$37)))</f>
        <v/>
      </c>
      <c r="F31" s="42" t="str">
        <f>IF($A31="","",(LOOKUP($A31,'STEP 2-WQv Calculation'!$A$8:$A$37,'STEP 2-WQv Calculation'!$F$8:$F$37)))</f>
        <v/>
      </c>
      <c r="G31" s="18">
        <f>'STEP 2-WQv Calculation'!B5</f>
        <v>0</v>
      </c>
      <c r="H31" s="29" t="str">
        <f>IF($A31="","",(LOOKUP($A31,'STEP 2-WQv Calculation'!$A$8:$A$37,'STEP 2-WQv Calculation'!$G$8:$G$37)))</f>
        <v/>
      </c>
    </row>
    <row r="32" spans="1:16" ht="13.15" customHeight="1" x14ac:dyDescent="0.3">
      <c r="A32" s="273" t="s">
        <v>226</v>
      </c>
      <c r="B32" s="273"/>
      <c r="C32" s="273"/>
      <c r="D32" s="273"/>
      <c r="E32" s="273"/>
      <c r="F32" s="273"/>
      <c r="G32" s="273"/>
      <c r="H32" s="273"/>
    </row>
    <row r="33" spans="1:8" ht="12.75" customHeight="1" x14ac:dyDescent="0.25">
      <c r="A33" s="245" t="s">
        <v>247</v>
      </c>
      <c r="B33" s="245"/>
      <c r="C33" s="245"/>
      <c r="D33" s="211"/>
      <c r="E33" s="322" t="str">
        <f>IF(D33="","This practice cannot be used for hotspot treatment",IF(D33="Yes","Does not meet design criteria",""))</f>
        <v>This practice cannot be used for hotspot treatment</v>
      </c>
      <c r="F33" s="323"/>
      <c r="G33" s="323"/>
      <c r="H33" s="324"/>
    </row>
    <row r="34" spans="1:8" ht="12.75" customHeight="1" x14ac:dyDescent="0.25">
      <c r="A34" s="245" t="s">
        <v>279</v>
      </c>
      <c r="B34" s="245"/>
      <c r="C34" s="245"/>
      <c r="D34" s="209"/>
      <c r="E34" s="322" t="str">
        <f>IF(D34&gt;10,"Does not meet design criteria","")</f>
        <v/>
      </c>
      <c r="F34" s="323"/>
      <c r="G34" s="323"/>
      <c r="H34" s="324"/>
    </row>
    <row r="35" spans="1:8" ht="12.75" customHeight="1" x14ac:dyDescent="0.25">
      <c r="A35" s="245" t="s">
        <v>294</v>
      </c>
      <c r="B35" s="245"/>
      <c r="C35" s="245"/>
      <c r="D35" s="59"/>
      <c r="E35" s="322"/>
      <c r="F35" s="323"/>
      <c r="G35" s="323"/>
      <c r="H35" s="324"/>
    </row>
    <row r="36" spans="1:8" ht="27.75" customHeight="1" x14ac:dyDescent="0.25">
      <c r="A36" s="242" t="s">
        <v>295</v>
      </c>
      <c r="B36" s="243"/>
      <c r="C36" s="244"/>
      <c r="D36" s="60"/>
      <c r="E36" s="322" t="str">
        <f>IF(D36="","",IF(AND(D36&lt;0.5,D35&gt;1),"Underdrains required",""))</f>
        <v/>
      </c>
      <c r="F36" s="323"/>
      <c r="G36" s="323"/>
      <c r="H36" s="324"/>
    </row>
    <row r="37" spans="1:8" ht="12.75" customHeight="1" x14ac:dyDescent="0.25">
      <c r="A37" s="242" t="s">
        <v>296</v>
      </c>
      <c r="B37" s="243"/>
      <c r="C37" s="244"/>
      <c r="D37" s="59"/>
      <c r="E37" s="322" t="str">
        <f>IF(D37="","",IF(AND(D37&lt;2,D35&gt;1),"Does not meet criteria",""))</f>
        <v/>
      </c>
      <c r="F37" s="323"/>
      <c r="G37" s="323"/>
      <c r="H37" s="324"/>
    </row>
    <row r="38" spans="1:8" ht="12.75" customHeight="1" x14ac:dyDescent="0.25">
      <c r="A38" s="242" t="s">
        <v>297</v>
      </c>
      <c r="B38" s="243"/>
      <c r="C38" s="244"/>
      <c r="D38" s="59"/>
      <c r="E38" s="322" t="str">
        <f>IF(D38="","",IF(AND(D38&lt;2,D35&gt;1),"Does not meet criteria",""))</f>
        <v/>
      </c>
      <c r="F38" s="323"/>
      <c r="G38" s="323"/>
      <c r="H38" s="324"/>
    </row>
    <row r="39" spans="1:8" ht="12.75" customHeight="1" x14ac:dyDescent="0.25">
      <c r="A39" s="242" t="s">
        <v>285</v>
      </c>
      <c r="B39" s="243"/>
      <c r="C39" s="244"/>
      <c r="D39" s="59"/>
      <c r="E39" s="322" t="str">
        <f>IF(D39&lt;3,"Does not meet design criteria","")</f>
        <v>Does not meet design criteria</v>
      </c>
      <c r="F39" s="323"/>
      <c r="G39" s="323"/>
      <c r="H39" s="324"/>
    </row>
    <row r="40" spans="1:8" ht="12.75" customHeight="1" x14ac:dyDescent="0.25">
      <c r="A40" s="242" t="s">
        <v>287</v>
      </c>
      <c r="B40" s="243"/>
      <c r="C40" s="244"/>
      <c r="D40" s="59"/>
      <c r="E40" s="322" t="str">
        <f>IF(D40="","",IF(D40&lt;5,"Does not meet design criteria",""))</f>
        <v/>
      </c>
      <c r="F40" s="323"/>
      <c r="G40" s="323"/>
      <c r="H40" s="324"/>
    </row>
    <row r="41" spans="1:8" ht="12.75" customHeight="1" x14ac:dyDescent="0.25">
      <c r="A41" s="242" t="s">
        <v>288</v>
      </c>
      <c r="B41" s="243"/>
      <c r="C41" s="244"/>
      <c r="D41" s="59"/>
      <c r="E41" s="322" t="str">
        <f>IF(D41="","",IF(D41&lt;5,"Does not meet design criteria",""))</f>
        <v/>
      </c>
      <c r="F41" s="323"/>
      <c r="G41" s="323"/>
      <c r="H41" s="324"/>
    </row>
    <row r="42" spans="1:8" ht="12.75" customHeight="1" x14ac:dyDescent="0.25">
      <c r="A42" s="242" t="s">
        <v>300</v>
      </c>
      <c r="B42" s="243"/>
      <c r="C42" s="244"/>
      <c r="D42" s="59"/>
      <c r="E42" s="322" t="str">
        <f>IF(D42="","",IF(D42&lt;6,"Does not meet design criteria",IF(D36&lt;0.5,"10 inch min. required","")))</f>
        <v/>
      </c>
      <c r="F42" s="323"/>
      <c r="G42" s="323"/>
      <c r="H42" s="324"/>
    </row>
    <row r="43" spans="1:8" ht="12.75" customHeight="1" x14ac:dyDescent="0.25">
      <c r="A43" s="242" t="s">
        <v>301</v>
      </c>
      <c r="B43" s="243"/>
      <c r="C43" s="244"/>
      <c r="D43" s="59"/>
      <c r="E43" s="322" t="str">
        <f>IF(D43&gt;30,"Does not meet design criteria","")</f>
        <v/>
      </c>
      <c r="F43" s="323"/>
      <c r="G43" s="323"/>
      <c r="H43" s="324"/>
    </row>
    <row r="44" spans="1:8" ht="13.15" customHeight="1" x14ac:dyDescent="0.25">
      <c r="A44" s="236" t="s">
        <v>232</v>
      </c>
      <c r="B44" s="237"/>
      <c r="C44" s="237"/>
      <c r="D44" s="237"/>
      <c r="E44" s="237"/>
      <c r="F44" s="237"/>
      <c r="G44" s="237"/>
      <c r="H44" s="238"/>
    </row>
    <row r="45" spans="1:8" ht="13.15" customHeight="1" x14ac:dyDescent="0.25">
      <c r="A45" s="35"/>
      <c r="B45" s="36"/>
      <c r="C45" s="36"/>
      <c r="D45" s="37"/>
      <c r="E45" s="302" t="s">
        <v>256</v>
      </c>
      <c r="F45" s="302"/>
      <c r="G45" s="38" t="s">
        <v>257</v>
      </c>
      <c r="H45" s="38" t="s">
        <v>258</v>
      </c>
    </row>
    <row r="46" spans="1:8" ht="12.75" customHeight="1" x14ac:dyDescent="0.25">
      <c r="A46" s="289" t="s">
        <v>302</v>
      </c>
      <c r="B46" s="289"/>
      <c r="C46" s="289"/>
      <c r="D46" s="198" t="s">
        <v>303</v>
      </c>
      <c r="E46" s="334" t="str">
        <f>F31</f>
        <v/>
      </c>
      <c r="F46" s="334"/>
      <c r="G46" s="193" t="s">
        <v>2</v>
      </c>
      <c r="H46" s="219"/>
    </row>
    <row r="47" spans="1:8" ht="12.75" customHeight="1" x14ac:dyDescent="0.25">
      <c r="A47" s="289" t="s">
        <v>304</v>
      </c>
      <c r="B47" s="289"/>
      <c r="C47" s="289"/>
      <c r="D47" s="198" t="s">
        <v>305</v>
      </c>
      <c r="E47" s="330"/>
      <c r="F47" s="330"/>
      <c r="G47" s="193" t="s">
        <v>271</v>
      </c>
      <c r="H47" s="219" t="str">
        <f>IF(E47&lt;3,"Does not meet design criteria","")</f>
        <v>Does not meet design criteria</v>
      </c>
    </row>
    <row r="48" spans="1:8" ht="12.75" customHeight="1" x14ac:dyDescent="0.25">
      <c r="A48" s="266" t="s">
        <v>306</v>
      </c>
      <c r="B48" s="267"/>
      <c r="C48" s="268"/>
      <c r="D48" s="198" t="s">
        <v>307</v>
      </c>
      <c r="E48" s="289">
        <v>1</v>
      </c>
      <c r="F48" s="289"/>
      <c r="G48" s="193" t="s">
        <v>308</v>
      </c>
      <c r="H48" s="219" t="str">
        <f>IF(E48&gt;1,"Sizing as Filter","")</f>
        <v/>
      </c>
    </row>
    <row r="49" spans="1:8" ht="12.75" customHeight="1" x14ac:dyDescent="0.25">
      <c r="A49" s="289" t="s">
        <v>309</v>
      </c>
      <c r="B49" s="289"/>
      <c r="C49" s="289"/>
      <c r="D49" s="198" t="s">
        <v>310</v>
      </c>
      <c r="E49" s="330"/>
      <c r="F49" s="330"/>
      <c r="G49" s="193" t="s">
        <v>271</v>
      </c>
      <c r="H49" s="219" t="str">
        <f>IF(E49&gt;0.5,"Does not meet sizing criteria","")</f>
        <v/>
      </c>
    </row>
    <row r="50" spans="1:8" ht="12.75" customHeight="1" x14ac:dyDescent="0.25">
      <c r="A50" s="289" t="s">
        <v>311</v>
      </c>
      <c r="B50" s="289"/>
      <c r="C50" s="289"/>
      <c r="D50" s="198" t="s">
        <v>312</v>
      </c>
      <c r="E50" s="289">
        <v>2</v>
      </c>
      <c r="F50" s="289"/>
      <c r="G50" s="193" t="s">
        <v>313</v>
      </c>
      <c r="H50" s="219"/>
    </row>
    <row r="51" spans="1:8" ht="12.75" customHeight="1" x14ac:dyDescent="0.25">
      <c r="A51" s="266" t="s">
        <v>314</v>
      </c>
      <c r="B51" s="267"/>
      <c r="C51" s="268"/>
      <c r="D51" s="198" t="s">
        <v>315</v>
      </c>
      <c r="E51" s="308" t="e">
        <f>ROUND((E46*E47)/(E48*(E49+E47)*E50),0)</f>
        <v>#VALUE!</v>
      </c>
      <c r="F51" s="308"/>
      <c r="G51" s="193" t="s">
        <v>316</v>
      </c>
      <c r="H51" s="219"/>
    </row>
    <row r="52" spans="1:8" ht="12.75" customHeight="1" x14ac:dyDescent="0.25">
      <c r="A52" s="266" t="s">
        <v>317</v>
      </c>
      <c r="B52" s="267"/>
      <c r="C52" s="268"/>
      <c r="D52" s="198" t="s">
        <v>315</v>
      </c>
      <c r="E52" s="308">
        <f>D40*D41*D35</f>
        <v>0</v>
      </c>
      <c r="F52" s="308"/>
      <c r="G52" s="193" t="s">
        <v>316</v>
      </c>
      <c r="H52" s="219" t="str">
        <f>IF(E52="","",IF(E52=0,"",IF(E52&lt;E51,"Does not meet sizing criteria","")))</f>
        <v/>
      </c>
    </row>
    <row r="53" spans="1:8" ht="13.15" customHeight="1" x14ac:dyDescent="0.25">
      <c r="A53" s="236" t="s">
        <v>276</v>
      </c>
      <c r="B53" s="237"/>
      <c r="C53" s="237"/>
      <c r="D53" s="237"/>
      <c r="E53" s="237"/>
      <c r="F53" s="237"/>
      <c r="G53" s="237"/>
      <c r="H53" s="238"/>
    </row>
    <row r="54" spans="1:8" ht="13.15" customHeight="1" x14ac:dyDescent="0.25">
      <c r="A54" s="335" t="s">
        <v>241</v>
      </c>
      <c r="B54" s="335"/>
      <c r="C54" s="9" t="str">
        <f>IF(F31="","",IF(D33="YES",0,IF(D34&gt;10,0,IF(AND(D37&lt;2,D35&gt;1),0,IF(AND(D38&lt;2,D35&gt;1),0,IF(D39&lt;3,0,IF(D40&lt;5,0,IF(D41&lt;5,0,IF(D42&lt;6,0,IF(D43&gt;30,0,IF(E47&lt;3,0,IF(E49&gt;0.5,0,IF(E52&lt;E51,0,IF(D36&lt;0.5,F31*0.4,F31*1))))))))))))))</f>
        <v/>
      </c>
      <c r="D54" s="310" t="s">
        <v>2</v>
      </c>
      <c r="E54" s="311"/>
      <c r="F54" s="311"/>
      <c r="G54" s="311"/>
      <c r="H54" s="312"/>
    </row>
    <row r="55" spans="1:8" ht="13.15" customHeight="1" x14ac:dyDescent="0.3">
      <c r="A55" s="24" t="s">
        <v>56</v>
      </c>
      <c r="B55" s="23" t="str">
        <f>IF('STEP 2-WQv Calculation'!$B$4="","",'STEP 2-WQv Calculation'!$B$4)</f>
        <v/>
      </c>
      <c r="C55" s="31"/>
      <c r="D55" s="31"/>
      <c r="E55" s="32"/>
      <c r="F55" s="33"/>
      <c r="G55" s="33"/>
      <c r="H55" s="33"/>
    </row>
    <row r="56" spans="1:8" ht="13.15" customHeight="1" x14ac:dyDescent="0.25">
      <c r="A56" s="331" t="s">
        <v>293</v>
      </c>
      <c r="B56" s="332"/>
      <c r="C56" s="332"/>
      <c r="D56" s="332"/>
      <c r="E56" s="332"/>
      <c r="F56" s="332"/>
      <c r="G56" s="332"/>
      <c r="H56" s="333"/>
    </row>
    <row r="57" spans="1:8" ht="39" customHeight="1" x14ac:dyDescent="0.25">
      <c r="A57" s="204" t="s">
        <v>60</v>
      </c>
      <c r="B57" s="205" t="s">
        <v>61</v>
      </c>
      <c r="C57" s="205" t="s">
        <v>62</v>
      </c>
      <c r="D57" s="205" t="s">
        <v>63</v>
      </c>
      <c r="E57" s="205" t="s">
        <v>64</v>
      </c>
      <c r="F57" s="205" t="s">
        <v>65</v>
      </c>
      <c r="G57" s="205" t="s">
        <v>244</v>
      </c>
      <c r="H57" s="206" t="s">
        <v>13</v>
      </c>
    </row>
    <row r="58" spans="1:8" x14ac:dyDescent="0.25">
      <c r="A58" s="17"/>
      <c r="B58" s="18" t="str">
        <f>IF($A58="","",(LOOKUP($A58,'STEP 2-WQv Calculation'!$A$8:$A$37,'STEP 2-WQv Calculation'!$B$8:$B$37)))</f>
        <v/>
      </c>
      <c r="C58" s="18" t="str">
        <f>IF($A58="","",(LOOKUP($A58,'STEP 2-WQv Calculation'!$A$8:$A$37,'STEP 2-WQv Calculation'!$C$8:$C$37)))</f>
        <v/>
      </c>
      <c r="D58" s="53" t="str">
        <f>IF($A58="","",(LOOKUP($A58,'STEP 2-WQv Calculation'!$A$8:$A$37,'STEP 2-WQv Calculation'!$D$8:$D$37)))</f>
        <v/>
      </c>
      <c r="E58" s="18" t="str">
        <f>IF($A58="","",(LOOKUP($A58,'STEP 2-WQv Calculation'!$A$8:$A$37,'STEP 2-WQv Calculation'!$E$8:$E$37)))</f>
        <v/>
      </c>
      <c r="F58" s="42" t="str">
        <f>IF($A58="","",(LOOKUP($A58,'STEP 2-WQv Calculation'!$A$8:$A$37,'STEP 2-WQv Calculation'!$F$8:$F$37)))</f>
        <v/>
      </c>
      <c r="G58" s="18">
        <f>'STEP 2-WQv Calculation'!B5</f>
        <v>0</v>
      </c>
      <c r="H58" s="29" t="str">
        <f>IF($A58="","",(LOOKUP($A58,'STEP 2-WQv Calculation'!$A$8:$A$37,'STEP 2-WQv Calculation'!$G$8:$G$37)))</f>
        <v/>
      </c>
    </row>
    <row r="59" spans="1:8" ht="13.15" customHeight="1" x14ac:dyDescent="0.3">
      <c r="A59" s="273" t="s">
        <v>226</v>
      </c>
      <c r="B59" s="273"/>
      <c r="C59" s="273"/>
      <c r="D59" s="273"/>
      <c r="E59" s="273"/>
      <c r="F59" s="273"/>
      <c r="G59" s="273"/>
      <c r="H59" s="273"/>
    </row>
    <row r="60" spans="1:8" ht="12.75" customHeight="1" x14ac:dyDescent="0.25">
      <c r="A60" s="245" t="s">
        <v>247</v>
      </c>
      <c r="B60" s="245"/>
      <c r="C60" s="245"/>
      <c r="D60" s="211"/>
      <c r="E60" s="322" t="str">
        <f>IF(D60="","This practice cannot be used for hotspot treatment",IF(D60="Yes","Does not meet design criteria",""))</f>
        <v>This practice cannot be used for hotspot treatment</v>
      </c>
      <c r="F60" s="323"/>
      <c r="G60" s="323"/>
      <c r="H60" s="324"/>
    </row>
    <row r="61" spans="1:8" ht="12.75" customHeight="1" x14ac:dyDescent="0.25">
      <c r="A61" s="245" t="s">
        <v>279</v>
      </c>
      <c r="B61" s="245"/>
      <c r="C61" s="245"/>
      <c r="D61" s="209"/>
      <c r="E61" s="322" t="str">
        <f>IF(D61&gt;10,"Does not meet design criteria","")</f>
        <v/>
      </c>
      <c r="F61" s="323"/>
      <c r="G61" s="323"/>
      <c r="H61" s="324"/>
    </row>
    <row r="62" spans="1:8" ht="12.75" customHeight="1" x14ac:dyDescent="0.25">
      <c r="A62" s="245" t="s">
        <v>294</v>
      </c>
      <c r="B62" s="245"/>
      <c r="C62" s="245"/>
      <c r="D62" s="59"/>
      <c r="E62" s="322"/>
      <c r="F62" s="323"/>
      <c r="G62" s="323"/>
      <c r="H62" s="324"/>
    </row>
    <row r="63" spans="1:8" ht="27" customHeight="1" x14ac:dyDescent="0.25">
      <c r="A63" s="242" t="s">
        <v>295</v>
      </c>
      <c r="B63" s="243"/>
      <c r="C63" s="244"/>
      <c r="D63" s="60"/>
      <c r="E63" s="322" t="str">
        <f>IF(D63="","",IF(AND(D63&lt;0.5,D62&gt;1),"Underdrains required",""))</f>
        <v/>
      </c>
      <c r="F63" s="323"/>
      <c r="G63" s="323"/>
      <c r="H63" s="324"/>
    </row>
    <row r="64" spans="1:8" ht="12.75" customHeight="1" x14ac:dyDescent="0.25">
      <c r="A64" s="242" t="s">
        <v>296</v>
      </c>
      <c r="B64" s="243"/>
      <c r="C64" s="244"/>
      <c r="D64" s="59"/>
      <c r="E64" s="322" t="str">
        <f>IF(D64="","",IF(AND(D64&lt;2,D62&gt;1),"Does not meet criteria",""))</f>
        <v/>
      </c>
      <c r="F64" s="323"/>
      <c r="G64" s="323"/>
      <c r="H64" s="324"/>
    </row>
    <row r="65" spans="1:8" ht="12.75" customHeight="1" x14ac:dyDescent="0.25">
      <c r="A65" s="242" t="s">
        <v>297</v>
      </c>
      <c r="B65" s="243"/>
      <c r="C65" s="244"/>
      <c r="D65" s="59"/>
      <c r="E65" s="322" t="str">
        <f>IF(D65="","",IF(AND(D65&lt;2,D62&gt;1),"Does not meet criteria",""))</f>
        <v/>
      </c>
      <c r="F65" s="323"/>
      <c r="G65" s="323"/>
      <c r="H65" s="324"/>
    </row>
    <row r="66" spans="1:8" ht="12.75" customHeight="1" x14ac:dyDescent="0.25">
      <c r="A66" s="242" t="s">
        <v>285</v>
      </c>
      <c r="B66" s="243"/>
      <c r="C66" s="244"/>
      <c r="D66" s="59"/>
      <c r="E66" s="322" t="str">
        <f>IF(D66&lt;3,"Does not meet design criteria","")</f>
        <v>Does not meet design criteria</v>
      </c>
      <c r="F66" s="323"/>
      <c r="G66" s="323"/>
      <c r="H66" s="324"/>
    </row>
    <row r="67" spans="1:8" ht="12.75" customHeight="1" x14ac:dyDescent="0.25">
      <c r="A67" s="242" t="s">
        <v>287</v>
      </c>
      <c r="B67" s="243"/>
      <c r="C67" s="244"/>
      <c r="D67" s="59"/>
      <c r="E67" s="322" t="str">
        <f>IF(D67="","",IF(D67&lt;5,"Does not meet design criteria",""))</f>
        <v/>
      </c>
      <c r="F67" s="323"/>
      <c r="G67" s="323"/>
      <c r="H67" s="324"/>
    </row>
    <row r="68" spans="1:8" ht="12.75" customHeight="1" x14ac:dyDescent="0.25">
      <c r="A68" s="242" t="s">
        <v>288</v>
      </c>
      <c r="B68" s="243"/>
      <c r="C68" s="244"/>
      <c r="D68" s="59"/>
      <c r="E68" s="322" t="str">
        <f>IF(D68="","",IF(D68&lt;5,"Does not meet design criteria",""))</f>
        <v/>
      </c>
      <c r="F68" s="323"/>
      <c r="G68" s="323"/>
      <c r="H68" s="324"/>
    </row>
    <row r="69" spans="1:8" ht="12.75" customHeight="1" x14ac:dyDescent="0.25">
      <c r="A69" s="242" t="s">
        <v>300</v>
      </c>
      <c r="B69" s="243"/>
      <c r="C69" s="244"/>
      <c r="D69" s="59"/>
      <c r="E69" s="322" t="str">
        <f>IF(D69="","",IF(D69&lt;6,"Does not meet design criteria",IF(D63&lt;0.5,"10 inch min. required","")))</f>
        <v/>
      </c>
      <c r="F69" s="323"/>
      <c r="G69" s="323"/>
      <c r="H69" s="324"/>
    </row>
    <row r="70" spans="1:8" ht="12.75" customHeight="1" x14ac:dyDescent="0.25">
      <c r="A70" s="242" t="s">
        <v>301</v>
      </c>
      <c r="B70" s="243"/>
      <c r="C70" s="244"/>
      <c r="D70" s="59"/>
      <c r="E70" s="322" t="str">
        <f>IF(D70&gt;30,"Does not meet design criteria","")</f>
        <v/>
      </c>
      <c r="F70" s="323"/>
      <c r="G70" s="323"/>
      <c r="H70" s="324"/>
    </row>
    <row r="71" spans="1:8" ht="13.15" customHeight="1" x14ac:dyDescent="0.25">
      <c r="A71" s="236" t="s">
        <v>232</v>
      </c>
      <c r="B71" s="237"/>
      <c r="C71" s="237"/>
      <c r="D71" s="237"/>
      <c r="E71" s="237"/>
      <c r="F71" s="237"/>
      <c r="G71" s="237"/>
      <c r="H71" s="238"/>
    </row>
    <row r="72" spans="1:8" ht="12.75" customHeight="1" x14ac:dyDescent="0.25">
      <c r="A72" s="35"/>
      <c r="B72" s="36"/>
      <c r="C72" s="36"/>
      <c r="D72" s="37"/>
      <c r="E72" s="302" t="s">
        <v>256</v>
      </c>
      <c r="F72" s="302"/>
      <c r="G72" s="38" t="s">
        <v>257</v>
      </c>
      <c r="H72" s="38" t="s">
        <v>258</v>
      </c>
    </row>
    <row r="73" spans="1:8" ht="12.75" customHeight="1" x14ac:dyDescent="0.25">
      <c r="A73" s="289" t="s">
        <v>302</v>
      </c>
      <c r="B73" s="289"/>
      <c r="C73" s="289"/>
      <c r="D73" s="198" t="s">
        <v>303</v>
      </c>
      <c r="E73" s="334" t="str">
        <f>F58</f>
        <v/>
      </c>
      <c r="F73" s="334"/>
      <c r="G73" s="193" t="s">
        <v>2</v>
      </c>
      <c r="H73" s="219"/>
    </row>
    <row r="74" spans="1:8" ht="25" x14ac:dyDescent="0.25">
      <c r="A74" s="289" t="s">
        <v>304</v>
      </c>
      <c r="B74" s="289"/>
      <c r="C74" s="289"/>
      <c r="D74" s="198" t="s">
        <v>305</v>
      </c>
      <c r="E74" s="330"/>
      <c r="F74" s="330"/>
      <c r="G74" s="193" t="s">
        <v>271</v>
      </c>
      <c r="H74" s="219" t="str">
        <f>IF(E74&lt;3,"Does not meet design criteria","")</f>
        <v>Does not meet design criteria</v>
      </c>
    </row>
    <row r="75" spans="1:8" ht="12.75" customHeight="1" x14ac:dyDescent="0.25">
      <c r="A75" s="266" t="s">
        <v>306</v>
      </c>
      <c r="B75" s="267"/>
      <c r="C75" s="268"/>
      <c r="D75" s="198" t="s">
        <v>307</v>
      </c>
      <c r="E75" s="289">
        <v>1</v>
      </c>
      <c r="F75" s="289"/>
      <c r="G75" s="193" t="s">
        <v>308</v>
      </c>
      <c r="H75" s="219" t="str">
        <f>IF(E75&gt;1,"Sizing as Filter","")</f>
        <v/>
      </c>
    </row>
    <row r="76" spans="1:8" ht="12.75" customHeight="1" x14ac:dyDescent="0.25">
      <c r="A76" s="289" t="s">
        <v>309</v>
      </c>
      <c r="B76" s="289"/>
      <c r="C76" s="289"/>
      <c r="D76" s="198" t="s">
        <v>310</v>
      </c>
      <c r="E76" s="330"/>
      <c r="F76" s="330"/>
      <c r="G76" s="193" t="s">
        <v>271</v>
      </c>
      <c r="H76" s="219" t="str">
        <f>IF(E76&gt;0.5,"Does not meet sizing criteria","")</f>
        <v/>
      </c>
    </row>
    <row r="77" spans="1:8" ht="12.75" customHeight="1" x14ac:dyDescent="0.25">
      <c r="A77" s="289" t="s">
        <v>311</v>
      </c>
      <c r="B77" s="289"/>
      <c r="C77" s="289"/>
      <c r="D77" s="198" t="s">
        <v>312</v>
      </c>
      <c r="E77" s="289">
        <v>2</v>
      </c>
      <c r="F77" s="289"/>
      <c r="G77" s="193" t="s">
        <v>313</v>
      </c>
      <c r="H77" s="219"/>
    </row>
    <row r="78" spans="1:8" ht="12.75" customHeight="1" x14ac:dyDescent="0.25">
      <c r="A78" s="266" t="s">
        <v>314</v>
      </c>
      <c r="B78" s="267"/>
      <c r="C78" s="268"/>
      <c r="D78" s="198" t="s">
        <v>315</v>
      </c>
      <c r="E78" s="308" t="e">
        <f>ROUND((E73*E74)/(E75*(E76+E74)*E77),0)</f>
        <v>#VALUE!</v>
      </c>
      <c r="F78" s="308"/>
      <c r="G78" s="193" t="s">
        <v>316</v>
      </c>
      <c r="H78" s="219"/>
    </row>
    <row r="79" spans="1:8" ht="12.75" customHeight="1" x14ac:dyDescent="0.25">
      <c r="A79" s="266" t="s">
        <v>317</v>
      </c>
      <c r="B79" s="267"/>
      <c r="C79" s="268"/>
      <c r="D79" s="198" t="s">
        <v>315</v>
      </c>
      <c r="E79" s="308">
        <f>D67*D68*D62</f>
        <v>0</v>
      </c>
      <c r="F79" s="308"/>
      <c r="G79" s="193" t="s">
        <v>316</v>
      </c>
      <c r="H79" s="219" t="str">
        <f>IF(E79="","",IF(E79=0,"",IF(E79&lt;E78,"Does not meet sizing criteria","")))</f>
        <v/>
      </c>
    </row>
    <row r="80" spans="1:8" ht="13.15" customHeight="1" x14ac:dyDescent="0.25">
      <c r="A80" s="236" t="s">
        <v>276</v>
      </c>
      <c r="B80" s="237"/>
      <c r="C80" s="237"/>
      <c r="D80" s="237"/>
      <c r="E80" s="237"/>
      <c r="F80" s="237"/>
      <c r="G80" s="237"/>
      <c r="H80" s="238"/>
    </row>
    <row r="81" spans="1:8" ht="13.15" customHeight="1" x14ac:dyDescent="0.25">
      <c r="A81" s="335" t="s">
        <v>241</v>
      </c>
      <c r="B81" s="335"/>
      <c r="C81" s="9" t="str">
        <f>IF(F58="","",IF(D60="YES",0,IF(D61&gt;10,0,IF(AND(D64&lt;2,D62&gt;1),0,IF(AND(D65&lt;2,D62&gt;1),0,IF(D66&lt;3,0,IF(D67&lt;5,0,IF(D68&lt;5,0,IF(D69&lt;6,0,IF(D70&gt;30,0,IF(E74&lt;3,0,IF(E76&gt;0.5,0,IF(E79&lt;E78,0,IF(D63&lt;0.5,F58*0.4,F58*1))))))))))))))</f>
        <v/>
      </c>
      <c r="D81" s="310" t="s">
        <v>2</v>
      </c>
      <c r="E81" s="311"/>
      <c r="F81" s="311"/>
      <c r="G81" s="311"/>
      <c r="H81" s="312"/>
    </row>
    <row r="82" spans="1:8" ht="13.15" customHeight="1" x14ac:dyDescent="0.3">
      <c r="A82" s="24" t="s">
        <v>56</v>
      </c>
      <c r="B82" s="23" t="str">
        <f>IF('STEP 2-WQv Calculation'!$B$4="","",'STEP 2-WQv Calculation'!$B$4)</f>
        <v/>
      </c>
      <c r="C82" s="31"/>
      <c r="D82" s="31"/>
      <c r="E82" s="32"/>
      <c r="F82" s="33"/>
      <c r="G82" s="33"/>
      <c r="H82" s="33"/>
    </row>
    <row r="83" spans="1:8" ht="13.15" customHeight="1" x14ac:dyDescent="0.25">
      <c r="A83" s="331" t="s">
        <v>293</v>
      </c>
      <c r="B83" s="332"/>
      <c r="C83" s="332"/>
      <c r="D83" s="332"/>
      <c r="E83" s="332"/>
      <c r="F83" s="332"/>
      <c r="G83" s="332"/>
      <c r="H83" s="333"/>
    </row>
    <row r="84" spans="1:8" ht="39" customHeight="1" x14ac:dyDescent="0.25">
      <c r="A84" s="204" t="s">
        <v>60</v>
      </c>
      <c r="B84" s="205" t="s">
        <v>61</v>
      </c>
      <c r="C84" s="205" t="s">
        <v>62</v>
      </c>
      <c r="D84" s="205" t="s">
        <v>63</v>
      </c>
      <c r="E84" s="205" t="s">
        <v>64</v>
      </c>
      <c r="F84" s="205" t="s">
        <v>65</v>
      </c>
      <c r="G84" s="205" t="s">
        <v>244</v>
      </c>
      <c r="H84" s="206" t="s">
        <v>13</v>
      </c>
    </row>
    <row r="85" spans="1:8" ht="13.15" customHeight="1" x14ac:dyDescent="0.25">
      <c r="A85" s="17"/>
      <c r="B85" s="18" t="str">
        <f>IF($A85="","",(LOOKUP($A85,'STEP 2-WQv Calculation'!$A$8:$A$37,'STEP 2-WQv Calculation'!$B$8:$B$37)))</f>
        <v/>
      </c>
      <c r="C85" s="18" t="str">
        <f>IF($A85="","",(LOOKUP($A85,'STEP 2-WQv Calculation'!$A$8:$A$37,'STEP 2-WQv Calculation'!$C$8:$C$37)))</f>
        <v/>
      </c>
      <c r="D85" s="53" t="str">
        <f>IF($A85="","",(LOOKUP($A85,'STEP 2-WQv Calculation'!$A$8:$A$37,'STEP 2-WQv Calculation'!$D$8:$D$37)))</f>
        <v/>
      </c>
      <c r="E85" s="18" t="str">
        <f>IF($A85="","",(LOOKUP($A85,'STEP 2-WQv Calculation'!$A$8:$A$37,'STEP 2-WQv Calculation'!$E$8:$E$37)))</f>
        <v/>
      </c>
      <c r="F85" s="42" t="str">
        <f>IF($A85="","",(LOOKUP($A85,'STEP 2-WQv Calculation'!$A$8:$A$37,'STEP 2-WQv Calculation'!$F$8:$F$37)))</f>
        <v/>
      </c>
      <c r="G85" s="18">
        <f>'STEP 2-WQv Calculation'!B5</f>
        <v>0</v>
      </c>
      <c r="H85" s="29" t="str">
        <f>IF($A85="","",(LOOKUP($A85,'STEP 2-WQv Calculation'!$A$8:$A$37,'STEP 2-WQv Calculation'!$G$8:$G$37)))</f>
        <v/>
      </c>
    </row>
    <row r="86" spans="1:8" ht="13.15" customHeight="1" x14ac:dyDescent="0.3">
      <c r="A86" s="273" t="s">
        <v>226</v>
      </c>
      <c r="B86" s="273"/>
      <c r="C86" s="273"/>
      <c r="D86" s="273"/>
      <c r="E86" s="273"/>
      <c r="F86" s="273"/>
      <c r="G86" s="273"/>
      <c r="H86" s="273"/>
    </row>
    <row r="87" spans="1:8" ht="12.75" customHeight="1" x14ac:dyDescent="0.25">
      <c r="A87" s="245" t="s">
        <v>247</v>
      </c>
      <c r="B87" s="245"/>
      <c r="C87" s="245"/>
      <c r="D87" s="211"/>
      <c r="E87" s="322" t="str">
        <f>IF(D87="","This practice cannot be used for hotspot treatment",IF(D87="Yes","Does not meet design criteria",""))</f>
        <v>This practice cannot be used for hotspot treatment</v>
      </c>
      <c r="F87" s="323"/>
      <c r="G87" s="323"/>
      <c r="H87" s="324"/>
    </row>
    <row r="88" spans="1:8" ht="12.75" customHeight="1" x14ac:dyDescent="0.25">
      <c r="A88" s="245" t="s">
        <v>279</v>
      </c>
      <c r="B88" s="245"/>
      <c r="C88" s="245"/>
      <c r="D88" s="209"/>
      <c r="E88" s="322" t="str">
        <f>IF(D88&gt;10,"Does not meet design criteria","")</f>
        <v/>
      </c>
      <c r="F88" s="323"/>
      <c r="G88" s="323"/>
      <c r="H88" s="324"/>
    </row>
    <row r="89" spans="1:8" ht="12.75" customHeight="1" x14ac:dyDescent="0.25">
      <c r="A89" s="245" t="s">
        <v>294</v>
      </c>
      <c r="B89" s="245"/>
      <c r="C89" s="245"/>
      <c r="D89" s="59"/>
      <c r="E89" s="322"/>
      <c r="F89" s="323"/>
      <c r="G89" s="323"/>
      <c r="H89" s="324"/>
    </row>
    <row r="90" spans="1:8" ht="12.75" customHeight="1" x14ac:dyDescent="0.25">
      <c r="A90" s="242" t="s">
        <v>295</v>
      </c>
      <c r="B90" s="243"/>
      <c r="C90" s="244"/>
      <c r="D90" s="60"/>
      <c r="E90" s="322" t="str">
        <f>IF(D90="","",IF(AND(D90&lt;0.5,D89&gt;1),"Underdrains required",""))</f>
        <v/>
      </c>
      <c r="F90" s="323"/>
      <c r="G90" s="323"/>
      <c r="H90" s="324"/>
    </row>
    <row r="91" spans="1:8" ht="12.75" customHeight="1" x14ac:dyDescent="0.25">
      <c r="A91" s="242" t="s">
        <v>296</v>
      </c>
      <c r="B91" s="243"/>
      <c r="C91" s="244"/>
      <c r="D91" s="59"/>
      <c r="E91" s="322" t="str">
        <f>IF(D91="","",IF(AND(D91&lt;2,D89&gt;1),"Does not meet criteria",""))</f>
        <v/>
      </c>
      <c r="F91" s="323"/>
      <c r="G91" s="323"/>
      <c r="H91" s="324"/>
    </row>
    <row r="92" spans="1:8" ht="12.75" customHeight="1" x14ac:dyDescent="0.25">
      <c r="A92" s="242" t="s">
        <v>297</v>
      </c>
      <c r="B92" s="243"/>
      <c r="C92" s="244"/>
      <c r="D92" s="59"/>
      <c r="E92" s="322" t="str">
        <f>IF(D92="","",IF(AND(D92&lt;2,D89&gt;1),"Does not meet criteria",""))</f>
        <v/>
      </c>
      <c r="F92" s="323"/>
      <c r="G92" s="323"/>
      <c r="H92" s="324"/>
    </row>
    <row r="93" spans="1:8" ht="12.75" customHeight="1" x14ac:dyDescent="0.25">
      <c r="A93" s="242" t="s">
        <v>285</v>
      </c>
      <c r="B93" s="243"/>
      <c r="C93" s="244"/>
      <c r="D93" s="59"/>
      <c r="E93" s="322" t="str">
        <f>IF(D93&lt;3,"Does not meet design criteria","")</f>
        <v>Does not meet design criteria</v>
      </c>
      <c r="F93" s="323"/>
      <c r="G93" s="323"/>
      <c r="H93" s="324"/>
    </row>
    <row r="94" spans="1:8" ht="12.75" customHeight="1" x14ac:dyDescent="0.25">
      <c r="A94" s="242" t="s">
        <v>287</v>
      </c>
      <c r="B94" s="243"/>
      <c r="C94" s="244"/>
      <c r="D94" s="59"/>
      <c r="E94" s="322" t="str">
        <f>IF(D94="","",IF(D94&lt;5,"Does not meet design criteria",""))</f>
        <v/>
      </c>
      <c r="F94" s="323"/>
      <c r="G94" s="323"/>
      <c r="H94" s="324"/>
    </row>
    <row r="95" spans="1:8" ht="12.75" customHeight="1" x14ac:dyDescent="0.25">
      <c r="A95" s="242" t="s">
        <v>288</v>
      </c>
      <c r="B95" s="243"/>
      <c r="C95" s="244"/>
      <c r="D95" s="59"/>
      <c r="E95" s="322" t="str">
        <f>IF(D95="","",IF(D95&lt;5,"Does not meet design criteria",""))</f>
        <v/>
      </c>
      <c r="F95" s="323"/>
      <c r="G95" s="323"/>
      <c r="H95" s="324"/>
    </row>
    <row r="96" spans="1:8" ht="12.75" customHeight="1" x14ac:dyDescent="0.25">
      <c r="A96" s="242" t="s">
        <v>300</v>
      </c>
      <c r="B96" s="243"/>
      <c r="C96" s="244"/>
      <c r="D96" s="59"/>
      <c r="E96" s="322" t="str">
        <f>IF(D96="","",IF(D96&lt;6,"Does not meet design criteria",IF(D90&lt;0.5,"10 inch min. required","")))</f>
        <v/>
      </c>
      <c r="F96" s="323"/>
      <c r="G96" s="323"/>
      <c r="H96" s="324"/>
    </row>
    <row r="97" spans="1:8" ht="12.75" customHeight="1" x14ac:dyDescent="0.25">
      <c r="A97" s="242" t="s">
        <v>301</v>
      </c>
      <c r="B97" s="243"/>
      <c r="C97" s="244"/>
      <c r="D97" s="59"/>
      <c r="E97" s="322" t="str">
        <f>IF(D97&gt;30,"Does not meet design criteria","")</f>
        <v/>
      </c>
      <c r="F97" s="323"/>
      <c r="G97" s="323"/>
      <c r="H97" s="324"/>
    </row>
    <row r="98" spans="1:8" ht="13.15" customHeight="1" x14ac:dyDescent="0.25">
      <c r="A98" s="236" t="s">
        <v>232</v>
      </c>
      <c r="B98" s="237"/>
      <c r="C98" s="237"/>
      <c r="D98" s="237"/>
      <c r="E98" s="237"/>
      <c r="F98" s="237"/>
      <c r="G98" s="237"/>
      <c r="H98" s="238"/>
    </row>
    <row r="99" spans="1:8" ht="12.75" customHeight="1" x14ac:dyDescent="0.25">
      <c r="A99" s="35"/>
      <c r="B99" s="36"/>
      <c r="C99" s="36"/>
      <c r="D99" s="37"/>
      <c r="E99" s="302" t="s">
        <v>256</v>
      </c>
      <c r="F99" s="302"/>
      <c r="G99" s="38" t="s">
        <v>257</v>
      </c>
      <c r="H99" s="38" t="s">
        <v>258</v>
      </c>
    </row>
    <row r="100" spans="1:8" ht="12.75" customHeight="1" x14ac:dyDescent="0.25">
      <c r="A100" s="289" t="s">
        <v>302</v>
      </c>
      <c r="B100" s="289"/>
      <c r="C100" s="289"/>
      <c r="D100" s="198" t="s">
        <v>303</v>
      </c>
      <c r="E100" s="334" t="str">
        <f>F85</f>
        <v/>
      </c>
      <c r="F100" s="334"/>
      <c r="G100" s="193" t="s">
        <v>2</v>
      </c>
      <c r="H100" s="219"/>
    </row>
    <row r="101" spans="1:8" ht="13.15" customHeight="1" x14ac:dyDescent="0.25">
      <c r="A101" s="289" t="s">
        <v>304</v>
      </c>
      <c r="B101" s="289"/>
      <c r="C101" s="289"/>
      <c r="D101" s="198" t="s">
        <v>305</v>
      </c>
      <c r="E101" s="330"/>
      <c r="F101" s="330"/>
      <c r="G101" s="193" t="s">
        <v>271</v>
      </c>
      <c r="H101" s="219" t="str">
        <f>IF(E101&lt;3,"Does not meet design criteria","")</f>
        <v>Does not meet design criteria</v>
      </c>
    </row>
    <row r="102" spans="1:8" ht="12.75" customHeight="1" x14ac:dyDescent="0.25">
      <c r="A102" s="266" t="s">
        <v>306</v>
      </c>
      <c r="B102" s="267"/>
      <c r="C102" s="268"/>
      <c r="D102" s="198" t="s">
        <v>307</v>
      </c>
      <c r="E102" s="289">
        <v>1</v>
      </c>
      <c r="F102" s="289"/>
      <c r="G102" s="193" t="s">
        <v>308</v>
      </c>
      <c r="H102" s="219" t="str">
        <f>IF(E102&gt;1,"Sizing as Filter","")</f>
        <v/>
      </c>
    </row>
    <row r="103" spans="1:8" ht="12.75" customHeight="1" x14ac:dyDescent="0.25">
      <c r="A103" s="289" t="s">
        <v>309</v>
      </c>
      <c r="B103" s="289"/>
      <c r="C103" s="289"/>
      <c r="D103" s="198" t="s">
        <v>310</v>
      </c>
      <c r="E103" s="330"/>
      <c r="F103" s="330"/>
      <c r="G103" s="193" t="s">
        <v>271</v>
      </c>
      <c r="H103" s="219" t="str">
        <f>IF(E103&gt;0.5,"Does not meet sizing criteria","")</f>
        <v/>
      </c>
    </row>
    <row r="104" spans="1:8" ht="12.75" customHeight="1" x14ac:dyDescent="0.25">
      <c r="A104" s="289" t="s">
        <v>311</v>
      </c>
      <c r="B104" s="289"/>
      <c r="C104" s="289"/>
      <c r="D104" s="198" t="s">
        <v>312</v>
      </c>
      <c r="E104" s="289">
        <v>2</v>
      </c>
      <c r="F104" s="289"/>
      <c r="G104" s="193" t="s">
        <v>313</v>
      </c>
      <c r="H104" s="219"/>
    </row>
    <row r="105" spans="1:8" ht="12.75" customHeight="1" x14ac:dyDescent="0.25">
      <c r="A105" s="266" t="s">
        <v>314</v>
      </c>
      <c r="B105" s="267"/>
      <c r="C105" s="268"/>
      <c r="D105" s="198" t="s">
        <v>315</v>
      </c>
      <c r="E105" s="308" t="e">
        <f>ROUND((E100*E101)/(E102*(E103+E101)*E104),0)</f>
        <v>#VALUE!</v>
      </c>
      <c r="F105" s="308"/>
      <c r="G105" s="193" t="s">
        <v>316</v>
      </c>
      <c r="H105" s="219"/>
    </row>
    <row r="106" spans="1:8" ht="12.75" customHeight="1" x14ac:dyDescent="0.25">
      <c r="A106" s="266" t="s">
        <v>317</v>
      </c>
      <c r="B106" s="267"/>
      <c r="C106" s="268"/>
      <c r="D106" s="198" t="s">
        <v>315</v>
      </c>
      <c r="E106" s="308">
        <f>D94*D95*D89</f>
        <v>0</v>
      </c>
      <c r="F106" s="308"/>
      <c r="G106" s="193" t="s">
        <v>316</v>
      </c>
      <c r="H106" s="219" t="str">
        <f>IF(E106="","",IF(E106=0,"",IF(E106&lt;E105,"Does not meet sizing criteria","")))</f>
        <v/>
      </c>
    </row>
    <row r="107" spans="1:8" ht="13.15" customHeight="1" x14ac:dyDescent="0.25">
      <c r="A107" s="236" t="s">
        <v>276</v>
      </c>
      <c r="B107" s="237"/>
      <c r="C107" s="237"/>
      <c r="D107" s="237"/>
      <c r="E107" s="237"/>
      <c r="F107" s="237"/>
      <c r="G107" s="237"/>
      <c r="H107" s="238"/>
    </row>
    <row r="108" spans="1:8" ht="14.5" customHeight="1" x14ac:dyDescent="0.25">
      <c r="A108" s="335" t="s">
        <v>241</v>
      </c>
      <c r="B108" s="335"/>
      <c r="C108" s="9" t="str">
        <f>IF(F85="","",IF(D87="YES",0,IF(D88&gt;10,0,IF(AND(D91&lt;2,D89&gt;1),0,IF(AND(D92&lt;2,D89&gt;1),0,IF(D93&lt;3,0,IF(D94&lt;5,0,IF(D95&lt;5,0,IF(D96&lt;6,0,IF(D97&gt;30,0,IF(E101&lt;3,0,IF(E103&gt;0.5,0,IF(E106&lt;E105,0,IF(D90&lt;0.5,F85*0.4,F85*1))))))))))))))</f>
        <v/>
      </c>
      <c r="D108" s="310" t="s">
        <v>2</v>
      </c>
      <c r="E108" s="311"/>
      <c r="F108" s="311"/>
      <c r="G108" s="311"/>
      <c r="H108" s="312"/>
    </row>
    <row r="109" spans="1:8" ht="13.15" customHeight="1" x14ac:dyDescent="0.3">
      <c r="A109" s="24" t="s">
        <v>56</v>
      </c>
      <c r="B109" s="23" t="str">
        <f>IF('STEP 2-WQv Calculation'!$B$4="","",'STEP 2-WQv Calculation'!$B$4)</f>
        <v/>
      </c>
      <c r="C109" s="31"/>
      <c r="D109" s="31"/>
      <c r="E109" s="32"/>
      <c r="F109" s="33"/>
      <c r="G109" s="33"/>
      <c r="H109" s="33"/>
    </row>
    <row r="110" spans="1:8" ht="13.15" customHeight="1" x14ac:dyDescent="0.25">
      <c r="A110" s="331" t="s">
        <v>293</v>
      </c>
      <c r="B110" s="332"/>
      <c r="C110" s="332"/>
      <c r="D110" s="332"/>
      <c r="E110" s="332"/>
      <c r="F110" s="332"/>
      <c r="G110" s="332"/>
      <c r="H110" s="333"/>
    </row>
    <row r="111" spans="1:8" ht="39" customHeight="1" x14ac:dyDescent="0.25">
      <c r="A111" s="204" t="s">
        <v>60</v>
      </c>
      <c r="B111" s="205" t="s">
        <v>61</v>
      </c>
      <c r="C111" s="205" t="s">
        <v>62</v>
      </c>
      <c r="D111" s="205" t="s">
        <v>63</v>
      </c>
      <c r="E111" s="205" t="s">
        <v>64</v>
      </c>
      <c r="F111" s="205" t="s">
        <v>65</v>
      </c>
      <c r="G111" s="205" t="s">
        <v>244</v>
      </c>
      <c r="H111" s="206" t="s">
        <v>13</v>
      </c>
    </row>
    <row r="112" spans="1:8" x14ac:dyDescent="0.25">
      <c r="A112" s="17"/>
      <c r="B112" s="18" t="str">
        <f>IF($A112="","",(LOOKUP($A112,'STEP 2-WQv Calculation'!$A$8:$A$37,'STEP 2-WQv Calculation'!$B$8:$B$37)))</f>
        <v/>
      </c>
      <c r="C112" s="18" t="str">
        <f>IF($A112="","",(LOOKUP($A112,'STEP 2-WQv Calculation'!$A$8:$A$37,'STEP 2-WQv Calculation'!$C$8:$C$37)))</f>
        <v/>
      </c>
      <c r="D112" s="53" t="str">
        <f>IF($A112="","",(LOOKUP($A112,'STEP 2-WQv Calculation'!$A$8:$A$37,'STEP 2-WQv Calculation'!$D$8:$D$37)))</f>
        <v/>
      </c>
      <c r="E112" s="18" t="str">
        <f>IF($A112="","",(LOOKUP($A112,'STEP 2-WQv Calculation'!$A$8:$A$37,'STEP 2-WQv Calculation'!$E$8:$E$37)))</f>
        <v/>
      </c>
      <c r="F112" s="42" t="str">
        <f>IF($A112="","",(LOOKUP($A112,'STEP 2-WQv Calculation'!$A$8:$A$37,'STEP 2-WQv Calculation'!$F$8:$F$37)))</f>
        <v/>
      </c>
      <c r="G112" s="18">
        <f>'STEP 2-WQv Calculation'!B5</f>
        <v>0</v>
      </c>
      <c r="H112" s="29" t="str">
        <f>IF($A112="","",(LOOKUP($A112,'STEP 2-WQv Calculation'!$A$8:$A$37,'STEP 2-WQv Calculation'!$G$8:$G$37)))</f>
        <v/>
      </c>
    </row>
    <row r="113" spans="1:8" ht="13.15" customHeight="1" x14ac:dyDescent="0.3">
      <c r="A113" s="273" t="s">
        <v>226</v>
      </c>
      <c r="B113" s="273"/>
      <c r="C113" s="273"/>
      <c r="D113" s="273"/>
      <c r="E113" s="273"/>
      <c r="F113" s="273"/>
      <c r="G113" s="273"/>
      <c r="H113" s="273"/>
    </row>
    <row r="114" spans="1:8" ht="12.75" customHeight="1" x14ac:dyDescent="0.25">
      <c r="A114" s="245" t="s">
        <v>247</v>
      </c>
      <c r="B114" s="245"/>
      <c r="C114" s="245"/>
      <c r="D114" s="211"/>
      <c r="E114" s="322" t="str">
        <f>IF(D114="","This practice cannot be used for hotspot treatment",IF(D114="Yes","Does not meet design criteria",""))</f>
        <v>This practice cannot be used for hotspot treatment</v>
      </c>
      <c r="F114" s="323"/>
      <c r="G114" s="323"/>
      <c r="H114" s="324"/>
    </row>
    <row r="115" spans="1:8" ht="12.75" customHeight="1" x14ac:dyDescent="0.25">
      <c r="A115" s="245" t="s">
        <v>279</v>
      </c>
      <c r="B115" s="245"/>
      <c r="C115" s="245"/>
      <c r="D115" s="209"/>
      <c r="E115" s="322" t="str">
        <f>IF(D115&gt;10,"Does not meet design criteria","")</f>
        <v/>
      </c>
      <c r="F115" s="323"/>
      <c r="G115" s="323"/>
      <c r="H115" s="324"/>
    </row>
    <row r="116" spans="1:8" x14ac:dyDescent="0.25">
      <c r="A116" s="245" t="s">
        <v>294</v>
      </c>
      <c r="B116" s="245"/>
      <c r="C116" s="245"/>
      <c r="D116" s="59"/>
      <c r="E116" s="322"/>
      <c r="F116" s="323"/>
      <c r="G116" s="323"/>
      <c r="H116" s="324"/>
    </row>
    <row r="117" spans="1:8" ht="12.75" customHeight="1" x14ac:dyDescent="0.25">
      <c r="A117" s="242" t="s">
        <v>295</v>
      </c>
      <c r="B117" s="243"/>
      <c r="C117" s="244"/>
      <c r="D117" s="60"/>
      <c r="E117" s="322" t="str">
        <f>IF(D117="","",IF(AND(D117&lt;0.5,D116&gt;1),"Underdrains required",""))</f>
        <v/>
      </c>
      <c r="F117" s="323"/>
      <c r="G117" s="323"/>
      <c r="H117" s="324"/>
    </row>
    <row r="118" spans="1:8" ht="12.75" customHeight="1" x14ac:dyDescent="0.25">
      <c r="A118" s="242" t="s">
        <v>296</v>
      </c>
      <c r="B118" s="243"/>
      <c r="C118" s="244"/>
      <c r="D118" s="59"/>
      <c r="E118" s="322" t="str">
        <f>IF(D118="","",IF(AND(D118&lt;2,D116&gt;1),"Does not meet criteria",""))</f>
        <v/>
      </c>
      <c r="F118" s="323"/>
      <c r="G118" s="323"/>
      <c r="H118" s="324"/>
    </row>
    <row r="119" spans="1:8" ht="12.75" customHeight="1" x14ac:dyDescent="0.25">
      <c r="A119" s="242" t="s">
        <v>297</v>
      </c>
      <c r="B119" s="243"/>
      <c r="C119" s="244"/>
      <c r="D119" s="59"/>
      <c r="E119" s="322" t="str">
        <f>IF(D119="","",IF(AND(D119&lt;2,D116&gt;1),"Does not meet criteria",""))</f>
        <v/>
      </c>
      <c r="F119" s="323"/>
      <c r="G119" s="323"/>
      <c r="H119" s="324"/>
    </row>
    <row r="120" spans="1:8" ht="12.75" customHeight="1" x14ac:dyDescent="0.25">
      <c r="A120" s="242" t="s">
        <v>285</v>
      </c>
      <c r="B120" s="243"/>
      <c r="C120" s="244"/>
      <c r="D120" s="59"/>
      <c r="E120" s="322" t="str">
        <f>IF(D120&gt;3,"Does not meet design criteria","")</f>
        <v/>
      </c>
      <c r="F120" s="323"/>
      <c r="G120" s="323"/>
      <c r="H120" s="324"/>
    </row>
    <row r="121" spans="1:8" ht="12.75" customHeight="1" x14ac:dyDescent="0.25">
      <c r="A121" s="242" t="s">
        <v>287</v>
      </c>
      <c r="B121" s="243"/>
      <c r="C121" s="244"/>
      <c r="D121" s="59"/>
      <c r="E121" s="322" t="str">
        <f>IF(D121="","",IF(D121&lt;5,"Does not meet design criteria",""))</f>
        <v/>
      </c>
      <c r="F121" s="323"/>
      <c r="G121" s="323"/>
      <c r="H121" s="324"/>
    </row>
    <row r="122" spans="1:8" ht="12.75" customHeight="1" x14ac:dyDescent="0.25">
      <c r="A122" s="242" t="s">
        <v>288</v>
      </c>
      <c r="B122" s="243"/>
      <c r="C122" s="244"/>
      <c r="D122" s="59"/>
      <c r="E122" s="322" t="str">
        <f>IF(D122="","",IF(D122&lt;5,"Does not meet design criteria",""))</f>
        <v/>
      </c>
      <c r="F122" s="323"/>
      <c r="G122" s="323"/>
      <c r="H122" s="324"/>
    </row>
    <row r="123" spans="1:8" ht="12.75" customHeight="1" x14ac:dyDescent="0.25">
      <c r="A123" s="242" t="s">
        <v>300</v>
      </c>
      <c r="B123" s="243"/>
      <c r="C123" s="244"/>
      <c r="D123" s="59"/>
      <c r="E123" s="322" t="str">
        <f>IF(D123="","",IF(D123&lt;6,"Does not meet design criteria",IF(D117&lt;0.5,"10 inch min. required","")))</f>
        <v/>
      </c>
      <c r="F123" s="323"/>
      <c r="G123" s="323"/>
      <c r="H123" s="324"/>
    </row>
    <row r="124" spans="1:8" ht="12.75" customHeight="1" x14ac:dyDescent="0.25">
      <c r="A124" s="242" t="s">
        <v>301</v>
      </c>
      <c r="B124" s="243"/>
      <c r="C124" s="244"/>
      <c r="D124" s="59"/>
      <c r="E124" s="322" t="str">
        <f>IF(D124&gt;30,"Does not meet design criteria","")</f>
        <v/>
      </c>
      <c r="F124" s="323"/>
      <c r="G124" s="323"/>
      <c r="H124" s="324"/>
    </row>
    <row r="125" spans="1:8" ht="13.15" customHeight="1" x14ac:dyDescent="0.25">
      <c r="A125" s="236" t="s">
        <v>232</v>
      </c>
      <c r="B125" s="237"/>
      <c r="C125" s="237"/>
      <c r="D125" s="237"/>
      <c r="E125" s="237"/>
      <c r="F125" s="237"/>
      <c r="G125" s="237"/>
      <c r="H125" s="238"/>
    </row>
    <row r="126" spans="1:8" ht="13" x14ac:dyDescent="0.25">
      <c r="A126" s="35"/>
      <c r="B126" s="36"/>
      <c r="C126" s="36"/>
      <c r="D126" s="37"/>
      <c r="E126" s="302" t="s">
        <v>256</v>
      </c>
      <c r="F126" s="302"/>
      <c r="G126" s="38" t="s">
        <v>257</v>
      </c>
      <c r="H126" s="38" t="s">
        <v>258</v>
      </c>
    </row>
    <row r="127" spans="1:8" ht="12.75" customHeight="1" x14ac:dyDescent="0.25">
      <c r="A127" s="289" t="s">
        <v>302</v>
      </c>
      <c r="B127" s="289"/>
      <c r="C127" s="289"/>
      <c r="D127" s="198" t="s">
        <v>303</v>
      </c>
      <c r="E127" s="334" t="str">
        <f>F112</f>
        <v/>
      </c>
      <c r="F127" s="334"/>
      <c r="G127" s="193" t="s">
        <v>2</v>
      </c>
      <c r="H127" s="219"/>
    </row>
    <row r="128" spans="1:8" ht="25" x14ac:dyDescent="0.25">
      <c r="A128" s="289" t="s">
        <v>304</v>
      </c>
      <c r="B128" s="289"/>
      <c r="C128" s="289"/>
      <c r="D128" s="198" t="s">
        <v>305</v>
      </c>
      <c r="E128" s="330"/>
      <c r="F128" s="330"/>
      <c r="G128" s="193" t="s">
        <v>271</v>
      </c>
      <c r="H128" s="219" t="str">
        <f>IF(E128&lt;3,"Does not meet design criteria","")</f>
        <v>Does not meet design criteria</v>
      </c>
    </row>
    <row r="129" spans="1:8" ht="12.75" customHeight="1" x14ac:dyDescent="0.25">
      <c r="A129" s="266" t="s">
        <v>306</v>
      </c>
      <c r="B129" s="267"/>
      <c r="C129" s="268"/>
      <c r="D129" s="198" t="s">
        <v>307</v>
      </c>
      <c r="E129" s="289">
        <v>1</v>
      </c>
      <c r="F129" s="289"/>
      <c r="G129" s="193" t="s">
        <v>308</v>
      </c>
      <c r="H129" s="219" t="str">
        <f>IF(E129&gt;1,"Sizing as Filter","")</f>
        <v/>
      </c>
    </row>
    <row r="130" spans="1:8" ht="12.75" customHeight="1" x14ac:dyDescent="0.25">
      <c r="A130" s="289" t="s">
        <v>309</v>
      </c>
      <c r="B130" s="289"/>
      <c r="C130" s="289"/>
      <c r="D130" s="198" t="s">
        <v>310</v>
      </c>
      <c r="E130" s="330"/>
      <c r="F130" s="330"/>
      <c r="G130" s="193" t="s">
        <v>271</v>
      </c>
      <c r="H130" s="219" t="str">
        <f>IF(E130&gt;0.5,"Does not meet sizing criteria","")</f>
        <v/>
      </c>
    </row>
    <row r="131" spans="1:8" ht="12.75" customHeight="1" x14ac:dyDescent="0.25">
      <c r="A131" s="289" t="s">
        <v>311</v>
      </c>
      <c r="B131" s="289"/>
      <c r="C131" s="289"/>
      <c r="D131" s="198" t="s">
        <v>312</v>
      </c>
      <c r="E131" s="289">
        <v>2</v>
      </c>
      <c r="F131" s="289"/>
      <c r="G131" s="193" t="s">
        <v>313</v>
      </c>
      <c r="H131" s="219"/>
    </row>
    <row r="132" spans="1:8" ht="12.75" customHeight="1" x14ac:dyDescent="0.25">
      <c r="A132" s="266" t="s">
        <v>314</v>
      </c>
      <c r="B132" s="267"/>
      <c r="C132" s="268"/>
      <c r="D132" s="198" t="s">
        <v>315</v>
      </c>
      <c r="E132" s="308" t="e">
        <f>ROUND((E127*E128)/(E129*(E130+E128)*E131),0)</f>
        <v>#VALUE!</v>
      </c>
      <c r="F132" s="308"/>
      <c r="G132" s="193" t="s">
        <v>316</v>
      </c>
      <c r="H132" s="219"/>
    </row>
    <row r="133" spans="1:8" ht="12.75" customHeight="1" x14ac:dyDescent="0.25">
      <c r="A133" s="266" t="s">
        <v>317</v>
      </c>
      <c r="B133" s="267"/>
      <c r="C133" s="268"/>
      <c r="D133" s="198" t="s">
        <v>315</v>
      </c>
      <c r="E133" s="308">
        <f>D121*D122*D116</f>
        <v>0</v>
      </c>
      <c r="F133" s="308"/>
      <c r="G133" s="193" t="s">
        <v>316</v>
      </c>
      <c r="H133" s="219" t="str">
        <f>IF(E133="","",IF(E133=0,"",IF(E133&lt;E132,"Does not meet sizing criteria","")))</f>
        <v/>
      </c>
    </row>
    <row r="134" spans="1:8" ht="13.15" customHeight="1" x14ac:dyDescent="0.25">
      <c r="A134" s="236" t="s">
        <v>276</v>
      </c>
      <c r="B134" s="237"/>
      <c r="C134" s="237"/>
      <c r="D134" s="237"/>
      <c r="E134" s="237"/>
      <c r="F134" s="237"/>
      <c r="G134" s="237"/>
      <c r="H134" s="238"/>
    </row>
    <row r="135" spans="1:8" ht="13.15" customHeight="1" x14ac:dyDescent="0.25">
      <c r="A135" s="335" t="s">
        <v>241</v>
      </c>
      <c r="B135" s="335"/>
      <c r="C135" s="9" t="str">
        <f>IF(F112="","",IF(D114="YES",0,IF(D115&gt;10,0,IF(AND(D118&lt;2,D116&gt;1),0,IF(AND(D119&lt;2,D116&gt;1),0,IF(D120&lt;3,0,IF(D121&lt;5,0,IF(D122&lt;5,0,IF(D123&lt;6,0,IF(D124&gt;30,0,IF(E128&lt;3,0,IF(E130&gt;0.5,0,IF(E133&lt;E132,0,IF(D117&lt;0.5,F112*0.4,F112*1))))))))))))))</f>
        <v/>
      </c>
      <c r="D135" s="310" t="s">
        <v>2</v>
      </c>
      <c r="E135" s="311"/>
      <c r="F135" s="311"/>
      <c r="G135" s="311"/>
      <c r="H135" s="312"/>
    </row>
    <row r="136" spans="1:8" ht="13" x14ac:dyDescent="0.3">
      <c r="A136" s="24" t="s">
        <v>56</v>
      </c>
      <c r="B136" s="23" t="str">
        <f>IF('STEP 2-WQv Calculation'!$B$4="","",'STEP 2-WQv Calculation'!$B$4)</f>
        <v/>
      </c>
      <c r="C136" s="31"/>
      <c r="D136" s="31"/>
      <c r="E136" s="32"/>
      <c r="F136" s="33"/>
      <c r="G136" s="33"/>
      <c r="H136" s="33"/>
    </row>
    <row r="137" spans="1:8" ht="13" x14ac:dyDescent="0.25">
      <c r="A137" s="331" t="s">
        <v>293</v>
      </c>
      <c r="B137" s="332"/>
      <c r="C137" s="332"/>
      <c r="D137" s="332"/>
      <c r="E137" s="332"/>
      <c r="F137" s="332"/>
      <c r="G137" s="332"/>
      <c r="H137" s="333"/>
    </row>
    <row r="138" spans="1:8" ht="38.5" x14ac:dyDescent="0.25">
      <c r="A138" s="204" t="s">
        <v>60</v>
      </c>
      <c r="B138" s="205" t="s">
        <v>61</v>
      </c>
      <c r="C138" s="205" t="s">
        <v>62</v>
      </c>
      <c r="D138" s="205" t="s">
        <v>63</v>
      </c>
      <c r="E138" s="205" t="s">
        <v>64</v>
      </c>
      <c r="F138" s="205" t="s">
        <v>65</v>
      </c>
      <c r="G138" s="205" t="s">
        <v>244</v>
      </c>
      <c r="H138" s="206" t="s">
        <v>13</v>
      </c>
    </row>
    <row r="139" spans="1:8" x14ac:dyDescent="0.25">
      <c r="A139" s="17"/>
      <c r="B139" s="18" t="str">
        <f>IF($A139="","",(LOOKUP($A139,'STEP 2-WQv Calculation'!$A$8:$A$37,'STEP 2-WQv Calculation'!$B$8:$B$37)))</f>
        <v/>
      </c>
      <c r="C139" s="18" t="str">
        <f>IF($A139="","",(LOOKUP($A139,'STEP 2-WQv Calculation'!$A$8:$A$37,'STEP 2-WQv Calculation'!$C$8:$C$37)))</f>
        <v/>
      </c>
      <c r="D139" s="53" t="str">
        <f>IF($A139="","",(LOOKUP($A139,'STEP 2-WQv Calculation'!$A$8:$A$37,'STEP 2-WQv Calculation'!$D$8:$D$37)))</f>
        <v/>
      </c>
      <c r="E139" s="18" t="str">
        <f>IF($A139="","",(LOOKUP($A139,'STEP 2-WQv Calculation'!$A$8:$A$37,'STEP 2-WQv Calculation'!$E$8:$E$37)))</f>
        <v/>
      </c>
      <c r="F139" s="42" t="str">
        <f>IF($A139="","",(LOOKUP($A139,'STEP 2-WQv Calculation'!$A$8:$A$37,'STEP 2-WQv Calculation'!$F$8:$F$37)))</f>
        <v/>
      </c>
      <c r="G139" s="18">
        <f>'STEP 2-WQv Calculation'!B32</f>
        <v>0</v>
      </c>
      <c r="H139" s="29" t="str">
        <f>IF($A139="","",(LOOKUP($A139,'STEP 2-WQv Calculation'!$A$8:$A$37,'STEP 2-WQv Calculation'!$G$8:$G$37)))</f>
        <v/>
      </c>
    </row>
    <row r="140" spans="1:8" ht="13" x14ac:dyDescent="0.3">
      <c r="A140" s="273" t="s">
        <v>226</v>
      </c>
      <c r="B140" s="273"/>
      <c r="C140" s="273"/>
      <c r="D140" s="273"/>
      <c r="E140" s="273"/>
      <c r="F140" s="273"/>
      <c r="G140" s="273"/>
      <c r="H140" s="273"/>
    </row>
    <row r="141" spans="1:8" x14ac:dyDescent="0.25">
      <c r="A141" s="245" t="s">
        <v>247</v>
      </c>
      <c r="B141" s="245"/>
      <c r="C141" s="245"/>
      <c r="D141" s="211"/>
      <c r="E141" s="322" t="str">
        <f>IF(D141="","This practice cannot be used for hotspot treatment",IF(D141="Yes","Does not meet design criteria",""))</f>
        <v>This practice cannot be used for hotspot treatment</v>
      </c>
      <c r="F141" s="323"/>
      <c r="G141" s="323"/>
      <c r="H141" s="324"/>
    </row>
    <row r="142" spans="1:8" x14ac:dyDescent="0.25">
      <c r="A142" s="245" t="s">
        <v>279</v>
      </c>
      <c r="B142" s="245"/>
      <c r="C142" s="245"/>
      <c r="D142" s="209"/>
      <c r="E142" s="322" t="str">
        <f>IF(D142&gt;10,"Does not meet design criteria","")</f>
        <v/>
      </c>
      <c r="F142" s="323"/>
      <c r="G142" s="323"/>
      <c r="H142" s="324"/>
    </row>
    <row r="143" spans="1:8" x14ac:dyDescent="0.25">
      <c r="A143" s="245" t="s">
        <v>294</v>
      </c>
      <c r="B143" s="245"/>
      <c r="C143" s="245"/>
      <c r="D143" s="59"/>
      <c r="E143" s="322"/>
      <c r="F143" s="323"/>
      <c r="G143" s="323"/>
      <c r="H143" s="324"/>
    </row>
    <row r="144" spans="1:8" x14ac:dyDescent="0.25">
      <c r="A144" s="242" t="s">
        <v>295</v>
      </c>
      <c r="B144" s="243"/>
      <c r="C144" s="244"/>
      <c r="D144" s="60"/>
      <c r="E144" s="322" t="str">
        <f>IF(D144="","",IF(AND(D144&lt;0.5,D143&gt;1),"Underdrains required",""))</f>
        <v/>
      </c>
      <c r="F144" s="323"/>
      <c r="G144" s="323"/>
      <c r="H144" s="324"/>
    </row>
    <row r="145" spans="1:8" x14ac:dyDescent="0.25">
      <c r="A145" s="242" t="s">
        <v>296</v>
      </c>
      <c r="B145" s="243"/>
      <c r="C145" s="244"/>
      <c r="D145" s="59"/>
      <c r="E145" s="322" t="str">
        <f>IF(D145="","",IF(AND(D145&lt;2,D143&gt;1),"Does not meet criteria",""))</f>
        <v/>
      </c>
      <c r="F145" s="323"/>
      <c r="G145" s="323"/>
      <c r="H145" s="324"/>
    </row>
    <row r="146" spans="1:8" x14ac:dyDescent="0.25">
      <c r="A146" s="242" t="s">
        <v>297</v>
      </c>
      <c r="B146" s="243"/>
      <c r="C146" s="244"/>
      <c r="D146" s="59"/>
      <c r="E146" s="322" t="str">
        <f>IF(D146="","",IF(AND(D146&lt;2,D143&gt;1),"Does not meet criteria",""))</f>
        <v/>
      </c>
      <c r="F146" s="323"/>
      <c r="G146" s="323"/>
      <c r="H146" s="324"/>
    </row>
    <row r="147" spans="1:8" x14ac:dyDescent="0.25">
      <c r="A147" s="242" t="s">
        <v>285</v>
      </c>
      <c r="B147" s="243"/>
      <c r="C147" s="244"/>
      <c r="D147" s="59"/>
      <c r="E147" s="322" t="str">
        <f>IF(D147&gt;3,"Does not meet design criteria","")</f>
        <v/>
      </c>
      <c r="F147" s="323"/>
      <c r="G147" s="323"/>
      <c r="H147" s="324"/>
    </row>
    <row r="148" spans="1:8" x14ac:dyDescent="0.25">
      <c r="A148" s="242" t="s">
        <v>287</v>
      </c>
      <c r="B148" s="243"/>
      <c r="C148" s="244"/>
      <c r="D148" s="59"/>
      <c r="E148" s="322" t="str">
        <f>IF(D148="","",IF(D148&lt;5,"Does not meet design criteria",""))</f>
        <v/>
      </c>
      <c r="F148" s="323"/>
      <c r="G148" s="323"/>
      <c r="H148" s="324"/>
    </row>
    <row r="149" spans="1:8" x14ac:dyDescent="0.25">
      <c r="A149" s="242" t="s">
        <v>288</v>
      </c>
      <c r="B149" s="243"/>
      <c r="C149" s="244"/>
      <c r="D149" s="59"/>
      <c r="E149" s="322" t="str">
        <f>IF(D149="","",IF(D149&lt;5,"Does not meet design criteria",""))</f>
        <v/>
      </c>
      <c r="F149" s="323"/>
      <c r="G149" s="323"/>
      <c r="H149" s="324"/>
    </row>
    <row r="150" spans="1:8" x14ac:dyDescent="0.25">
      <c r="A150" s="242" t="s">
        <v>300</v>
      </c>
      <c r="B150" s="243"/>
      <c r="C150" s="244"/>
      <c r="D150" s="59"/>
      <c r="E150" s="322" t="str">
        <f>IF(D150="","",IF(D150&lt;6,"Does not meet design criteria",IF(D144&lt;0.5,"10 inch min. required","")))</f>
        <v/>
      </c>
      <c r="F150" s="323"/>
      <c r="G150" s="323"/>
      <c r="H150" s="324"/>
    </row>
    <row r="151" spans="1:8" x14ac:dyDescent="0.25">
      <c r="A151" s="242" t="s">
        <v>301</v>
      </c>
      <c r="B151" s="243"/>
      <c r="C151" s="244"/>
      <c r="D151" s="59"/>
      <c r="E151" s="322" t="str">
        <f>IF(D151&gt;30,"Does not meet design criteria","")</f>
        <v/>
      </c>
      <c r="F151" s="323"/>
      <c r="G151" s="323"/>
      <c r="H151" s="324"/>
    </row>
    <row r="152" spans="1:8" ht="13" x14ac:dyDescent="0.25">
      <c r="A152" s="236" t="s">
        <v>232</v>
      </c>
      <c r="B152" s="237"/>
      <c r="C152" s="237"/>
      <c r="D152" s="237"/>
      <c r="E152" s="237"/>
      <c r="F152" s="237"/>
      <c r="G152" s="237"/>
      <c r="H152" s="238"/>
    </row>
    <row r="153" spans="1:8" ht="13" x14ac:dyDescent="0.25">
      <c r="A153" s="35"/>
      <c r="B153" s="36"/>
      <c r="C153" s="36"/>
      <c r="D153" s="37"/>
      <c r="E153" s="302" t="s">
        <v>256</v>
      </c>
      <c r="F153" s="302"/>
      <c r="G153" s="38" t="s">
        <v>257</v>
      </c>
      <c r="H153" s="38" t="s">
        <v>258</v>
      </c>
    </row>
    <row r="154" spans="1:8" x14ac:dyDescent="0.25">
      <c r="A154" s="289" t="s">
        <v>302</v>
      </c>
      <c r="B154" s="289"/>
      <c r="C154" s="289"/>
      <c r="D154" s="198" t="s">
        <v>303</v>
      </c>
      <c r="E154" s="334" t="str">
        <f>F139</f>
        <v/>
      </c>
      <c r="F154" s="334"/>
      <c r="G154" s="193" t="s">
        <v>2</v>
      </c>
      <c r="H154" s="219"/>
    </row>
    <row r="155" spans="1:8" ht="25" x14ac:dyDescent="0.25">
      <c r="A155" s="289" t="s">
        <v>304</v>
      </c>
      <c r="B155" s="289"/>
      <c r="C155" s="289"/>
      <c r="D155" s="198" t="s">
        <v>305</v>
      </c>
      <c r="E155" s="330"/>
      <c r="F155" s="330"/>
      <c r="G155" s="193" t="s">
        <v>271</v>
      </c>
      <c r="H155" s="219" t="str">
        <f>IF(E155&lt;3,"Does not meet design criteria","")</f>
        <v>Does not meet design criteria</v>
      </c>
    </row>
    <row r="156" spans="1:8" x14ac:dyDescent="0.25">
      <c r="A156" s="266" t="s">
        <v>306</v>
      </c>
      <c r="B156" s="267"/>
      <c r="C156" s="268"/>
      <c r="D156" s="198" t="s">
        <v>307</v>
      </c>
      <c r="E156" s="289">
        <v>1</v>
      </c>
      <c r="F156" s="289"/>
      <c r="G156" s="193" t="s">
        <v>308</v>
      </c>
      <c r="H156" s="219" t="str">
        <f>IF(E156&gt;1,"Sizing as Filter","")</f>
        <v/>
      </c>
    </row>
    <row r="157" spans="1:8" x14ac:dyDescent="0.25">
      <c r="A157" s="289" t="s">
        <v>309</v>
      </c>
      <c r="B157" s="289"/>
      <c r="C157" s="289"/>
      <c r="D157" s="198" t="s">
        <v>310</v>
      </c>
      <c r="E157" s="330"/>
      <c r="F157" s="330"/>
      <c r="G157" s="193" t="s">
        <v>271</v>
      </c>
      <c r="H157" s="219" t="str">
        <f>IF(E157&gt;0.5,"Does not meet sizing criteria","")</f>
        <v/>
      </c>
    </row>
    <row r="158" spans="1:8" x14ac:dyDescent="0.25">
      <c r="A158" s="289" t="s">
        <v>311</v>
      </c>
      <c r="B158" s="289"/>
      <c r="C158" s="289"/>
      <c r="D158" s="198" t="s">
        <v>312</v>
      </c>
      <c r="E158" s="289">
        <v>2</v>
      </c>
      <c r="F158" s="289"/>
      <c r="G158" s="193" t="s">
        <v>313</v>
      </c>
      <c r="H158" s="219"/>
    </row>
    <row r="159" spans="1:8" x14ac:dyDescent="0.25">
      <c r="A159" s="266" t="s">
        <v>314</v>
      </c>
      <c r="B159" s="267"/>
      <c r="C159" s="268"/>
      <c r="D159" s="198" t="s">
        <v>315</v>
      </c>
      <c r="E159" s="308" t="e">
        <f>ROUND((E154*E155)/(E156*(E157+E155)*E158),0)</f>
        <v>#VALUE!</v>
      </c>
      <c r="F159" s="308"/>
      <c r="G159" s="193" t="s">
        <v>316</v>
      </c>
      <c r="H159" s="219"/>
    </row>
    <row r="160" spans="1:8" x14ac:dyDescent="0.25">
      <c r="A160" s="266" t="s">
        <v>317</v>
      </c>
      <c r="B160" s="267"/>
      <c r="C160" s="268"/>
      <c r="D160" s="198" t="s">
        <v>315</v>
      </c>
      <c r="E160" s="308">
        <f>D148*D149*D143</f>
        <v>0</v>
      </c>
      <c r="F160" s="308"/>
      <c r="G160" s="193" t="s">
        <v>316</v>
      </c>
      <c r="H160" s="219" t="str">
        <f>IF(E160="","",IF(E160=0,"",IF(E160&lt;E159,"Does not meet sizing criteria","")))</f>
        <v/>
      </c>
    </row>
    <row r="161" spans="1:8" ht="13" x14ac:dyDescent="0.25">
      <c r="A161" s="236" t="s">
        <v>276</v>
      </c>
      <c r="B161" s="237"/>
      <c r="C161" s="237"/>
      <c r="D161" s="237"/>
      <c r="E161" s="237"/>
      <c r="F161" s="237"/>
      <c r="G161" s="237"/>
      <c r="H161" s="238"/>
    </row>
    <row r="162" spans="1:8" ht="13" x14ac:dyDescent="0.25">
      <c r="A162" s="335" t="s">
        <v>241</v>
      </c>
      <c r="B162" s="335"/>
      <c r="C162" s="9" t="str">
        <f>IF(F139="","",IF(D141="YES",0,IF(D142&gt;10,0,IF(AND(D145&lt;2,D143&gt;1),0,IF(AND(D146&lt;2,D143&gt;1),0,IF(D147&lt;3,0,IF(D148&lt;5,0,IF(D149&lt;5,0,IF(D150&lt;6,0,IF(D151&gt;30,0,IF(E155&lt;3,0,IF(E157&gt;0.5,0,IF(E160&lt;E159,0,IF(D144&lt;0.5,F139*0.4,F139*1))))))))))))))</f>
        <v/>
      </c>
      <c r="D162" s="310" t="s">
        <v>2</v>
      </c>
      <c r="E162" s="311"/>
      <c r="F162" s="311"/>
      <c r="G162" s="311"/>
      <c r="H162" s="312"/>
    </row>
    <row r="163" spans="1:8" ht="13" x14ac:dyDescent="0.3">
      <c r="A163" s="24" t="s">
        <v>56</v>
      </c>
      <c r="B163" s="23" t="str">
        <f>IF('STEP 2-WQv Calculation'!$B$4="","",'STEP 2-WQv Calculation'!$B$4)</f>
        <v/>
      </c>
      <c r="C163" s="31"/>
      <c r="D163" s="31"/>
      <c r="E163" s="32"/>
      <c r="F163" s="33"/>
      <c r="G163" s="33"/>
      <c r="H163" s="33"/>
    </row>
    <row r="164" spans="1:8" ht="13" x14ac:dyDescent="0.25">
      <c r="A164" s="331" t="s">
        <v>293</v>
      </c>
      <c r="B164" s="332"/>
      <c r="C164" s="332"/>
      <c r="D164" s="332"/>
      <c r="E164" s="332"/>
      <c r="F164" s="332"/>
      <c r="G164" s="332"/>
      <c r="H164" s="333"/>
    </row>
    <row r="165" spans="1:8" ht="38.5" x14ac:dyDescent="0.25">
      <c r="A165" s="204" t="s">
        <v>60</v>
      </c>
      <c r="B165" s="205" t="s">
        <v>61</v>
      </c>
      <c r="C165" s="205" t="s">
        <v>62</v>
      </c>
      <c r="D165" s="205" t="s">
        <v>63</v>
      </c>
      <c r="E165" s="205" t="s">
        <v>64</v>
      </c>
      <c r="F165" s="205" t="s">
        <v>65</v>
      </c>
      <c r="G165" s="205" t="s">
        <v>244</v>
      </c>
      <c r="H165" s="206" t="s">
        <v>13</v>
      </c>
    </row>
    <row r="166" spans="1:8" x14ac:dyDescent="0.25">
      <c r="A166" s="17"/>
      <c r="B166" s="18" t="str">
        <f>IF($A166="","",(LOOKUP($A166,'STEP 2-WQv Calculation'!$A$8:$A$37,'STEP 2-WQv Calculation'!$B$8:$B$37)))</f>
        <v/>
      </c>
      <c r="C166" s="18" t="str">
        <f>IF($A166="","",(LOOKUP($A166,'STEP 2-WQv Calculation'!$A$8:$A$37,'STEP 2-WQv Calculation'!$C$8:$C$37)))</f>
        <v/>
      </c>
      <c r="D166" s="53" t="str">
        <f>IF($A166="","",(LOOKUP($A166,'STEP 2-WQv Calculation'!$A$8:$A$37,'STEP 2-WQv Calculation'!$D$8:$D$37)))</f>
        <v/>
      </c>
      <c r="E166" s="18" t="str">
        <f>IF($A166="","",(LOOKUP($A166,'STEP 2-WQv Calculation'!$A$8:$A$37,'STEP 2-WQv Calculation'!$E$8:$E$37)))</f>
        <v/>
      </c>
      <c r="F166" s="42" t="str">
        <f>IF($A166="","",(LOOKUP($A166,'STEP 2-WQv Calculation'!$A$8:$A$37,'STEP 2-WQv Calculation'!$F$8:$F$37)))</f>
        <v/>
      </c>
      <c r="G166" s="18">
        <f>'STEP 2-WQv Calculation'!B59</f>
        <v>0</v>
      </c>
      <c r="H166" s="29" t="str">
        <f>IF($A166="","",(LOOKUP($A166,'STEP 2-WQv Calculation'!$A$8:$A$37,'STEP 2-WQv Calculation'!$G$8:$G$37)))</f>
        <v/>
      </c>
    </row>
    <row r="167" spans="1:8" ht="13" x14ac:dyDescent="0.3">
      <c r="A167" s="273" t="s">
        <v>226</v>
      </c>
      <c r="B167" s="273"/>
      <c r="C167" s="273"/>
      <c r="D167" s="273"/>
      <c r="E167" s="273"/>
      <c r="F167" s="273"/>
      <c r="G167" s="273"/>
      <c r="H167" s="273"/>
    </row>
    <row r="168" spans="1:8" x14ac:dyDescent="0.25">
      <c r="A168" s="245" t="s">
        <v>247</v>
      </c>
      <c r="B168" s="245"/>
      <c r="C168" s="245"/>
      <c r="D168" s="211"/>
      <c r="E168" s="322" t="str">
        <f>IF(D168="","This practice cannot be used for hotspot treatment",IF(D168="Yes","Does not meet design criteria",""))</f>
        <v>This practice cannot be used for hotspot treatment</v>
      </c>
      <c r="F168" s="323"/>
      <c r="G168" s="323"/>
      <c r="H168" s="324"/>
    </row>
    <row r="169" spans="1:8" x14ac:dyDescent="0.25">
      <c r="A169" s="245" t="s">
        <v>279</v>
      </c>
      <c r="B169" s="245"/>
      <c r="C169" s="245"/>
      <c r="D169" s="209"/>
      <c r="E169" s="322" t="str">
        <f>IF(D169&gt;10,"Does not meet design criteria","")</f>
        <v/>
      </c>
      <c r="F169" s="323"/>
      <c r="G169" s="323"/>
      <c r="H169" s="324"/>
    </row>
    <row r="170" spans="1:8" x14ac:dyDescent="0.25">
      <c r="A170" s="245" t="s">
        <v>294</v>
      </c>
      <c r="B170" s="245"/>
      <c r="C170" s="245"/>
      <c r="D170" s="59"/>
      <c r="E170" s="322"/>
      <c r="F170" s="323"/>
      <c r="G170" s="323"/>
      <c r="H170" s="324"/>
    </row>
    <row r="171" spans="1:8" x14ac:dyDescent="0.25">
      <c r="A171" s="242" t="s">
        <v>295</v>
      </c>
      <c r="B171" s="243"/>
      <c r="C171" s="244"/>
      <c r="D171" s="60"/>
      <c r="E171" s="322" t="str">
        <f>IF(D171="","",IF(AND(D171&lt;0.5,D170&gt;1),"Underdrains required",""))</f>
        <v/>
      </c>
      <c r="F171" s="323"/>
      <c r="G171" s="323"/>
      <c r="H171" s="324"/>
    </row>
    <row r="172" spans="1:8" x14ac:dyDescent="0.25">
      <c r="A172" s="242" t="s">
        <v>296</v>
      </c>
      <c r="B172" s="243"/>
      <c r="C172" s="244"/>
      <c r="D172" s="59"/>
      <c r="E172" s="322" t="str">
        <f>IF(D172="","",IF(AND(D172&lt;2,D170&gt;1),"Does not meet criteria",""))</f>
        <v/>
      </c>
      <c r="F172" s="323"/>
      <c r="G172" s="323"/>
      <c r="H172" s="324"/>
    </row>
    <row r="173" spans="1:8" x14ac:dyDescent="0.25">
      <c r="A173" s="242" t="s">
        <v>297</v>
      </c>
      <c r="B173" s="243"/>
      <c r="C173" s="244"/>
      <c r="D173" s="59"/>
      <c r="E173" s="322" t="str">
        <f>IF(D173="","",IF(AND(D173&lt;2,D170&gt;1),"Does not meet criteria",""))</f>
        <v/>
      </c>
      <c r="F173" s="323"/>
      <c r="G173" s="323"/>
      <c r="H173" s="324"/>
    </row>
    <row r="174" spans="1:8" x14ac:dyDescent="0.25">
      <c r="A174" s="242" t="s">
        <v>285</v>
      </c>
      <c r="B174" s="243"/>
      <c r="C174" s="244"/>
      <c r="D174" s="59"/>
      <c r="E174" s="322" t="str">
        <f>IF(D174&gt;3,"Does not meet design criteria","")</f>
        <v/>
      </c>
      <c r="F174" s="323"/>
      <c r="G174" s="323"/>
      <c r="H174" s="324"/>
    </row>
    <row r="175" spans="1:8" x14ac:dyDescent="0.25">
      <c r="A175" s="242" t="s">
        <v>287</v>
      </c>
      <c r="B175" s="243"/>
      <c r="C175" s="244"/>
      <c r="D175" s="59"/>
      <c r="E175" s="322" t="str">
        <f>IF(D175="","",IF(D175&lt;5,"Does not meet design criteria",""))</f>
        <v/>
      </c>
      <c r="F175" s="323"/>
      <c r="G175" s="323"/>
      <c r="H175" s="324"/>
    </row>
    <row r="176" spans="1:8" x14ac:dyDescent="0.25">
      <c r="A176" s="242" t="s">
        <v>288</v>
      </c>
      <c r="B176" s="243"/>
      <c r="C176" s="244"/>
      <c r="D176" s="59"/>
      <c r="E176" s="322" t="str">
        <f>IF(D176="","",IF(D176&lt;5,"Does not meet design criteria",""))</f>
        <v/>
      </c>
      <c r="F176" s="323"/>
      <c r="G176" s="323"/>
      <c r="H176" s="324"/>
    </row>
    <row r="177" spans="1:8" x14ac:dyDescent="0.25">
      <c r="A177" s="242" t="s">
        <v>300</v>
      </c>
      <c r="B177" s="243"/>
      <c r="C177" s="244"/>
      <c r="D177" s="59"/>
      <c r="E177" s="322" t="str">
        <f>IF(D177="","",IF(D177&lt;6,"Does not meet design criteria",IF(D171&lt;0.5,"10 inch min. required","")))</f>
        <v/>
      </c>
      <c r="F177" s="323"/>
      <c r="G177" s="323"/>
      <c r="H177" s="324"/>
    </row>
    <row r="178" spans="1:8" x14ac:dyDescent="0.25">
      <c r="A178" s="242" t="s">
        <v>301</v>
      </c>
      <c r="B178" s="243"/>
      <c r="C178" s="244"/>
      <c r="D178" s="59"/>
      <c r="E178" s="322" t="str">
        <f>IF(D178&gt;30,"Does not meet design criteria","")</f>
        <v/>
      </c>
      <c r="F178" s="323"/>
      <c r="G178" s="323"/>
      <c r="H178" s="324"/>
    </row>
    <row r="179" spans="1:8" ht="13" x14ac:dyDescent="0.25">
      <c r="A179" s="236" t="s">
        <v>232</v>
      </c>
      <c r="B179" s="237"/>
      <c r="C179" s="237"/>
      <c r="D179" s="237"/>
      <c r="E179" s="237"/>
      <c r="F179" s="237"/>
      <c r="G179" s="237"/>
      <c r="H179" s="238"/>
    </row>
    <row r="180" spans="1:8" ht="13" x14ac:dyDescent="0.25">
      <c r="A180" s="35"/>
      <c r="B180" s="36"/>
      <c r="C180" s="36"/>
      <c r="D180" s="37"/>
      <c r="E180" s="302" t="s">
        <v>256</v>
      </c>
      <c r="F180" s="302"/>
      <c r="G180" s="38" t="s">
        <v>257</v>
      </c>
      <c r="H180" s="38" t="s">
        <v>258</v>
      </c>
    </row>
    <row r="181" spans="1:8" x14ac:dyDescent="0.25">
      <c r="A181" s="289" t="s">
        <v>302</v>
      </c>
      <c r="B181" s="289"/>
      <c r="C181" s="289"/>
      <c r="D181" s="198" t="s">
        <v>303</v>
      </c>
      <c r="E181" s="334" t="str">
        <f>F166</f>
        <v/>
      </c>
      <c r="F181" s="334"/>
      <c r="G181" s="193" t="s">
        <v>2</v>
      </c>
      <c r="H181" s="219"/>
    </row>
    <row r="182" spans="1:8" ht="25" x14ac:dyDescent="0.25">
      <c r="A182" s="289" t="s">
        <v>304</v>
      </c>
      <c r="B182" s="289"/>
      <c r="C182" s="289"/>
      <c r="D182" s="198" t="s">
        <v>305</v>
      </c>
      <c r="E182" s="330"/>
      <c r="F182" s="330"/>
      <c r="G182" s="193" t="s">
        <v>271</v>
      </c>
      <c r="H182" s="219" t="str">
        <f>IF(E182&lt;3,"Does not meet design criteria","")</f>
        <v>Does not meet design criteria</v>
      </c>
    </row>
    <row r="183" spans="1:8" x14ac:dyDescent="0.25">
      <c r="A183" s="266" t="s">
        <v>306</v>
      </c>
      <c r="B183" s="267"/>
      <c r="C183" s="268"/>
      <c r="D183" s="198" t="s">
        <v>307</v>
      </c>
      <c r="E183" s="289">
        <v>1</v>
      </c>
      <c r="F183" s="289"/>
      <c r="G183" s="193" t="s">
        <v>308</v>
      </c>
      <c r="H183" s="219" t="str">
        <f>IF(E183&gt;1,"Sizing as Filter","")</f>
        <v/>
      </c>
    </row>
    <row r="184" spans="1:8" x14ac:dyDescent="0.25">
      <c r="A184" s="289" t="s">
        <v>309</v>
      </c>
      <c r="B184" s="289"/>
      <c r="C184" s="289"/>
      <c r="D184" s="198" t="s">
        <v>310</v>
      </c>
      <c r="E184" s="330"/>
      <c r="F184" s="330"/>
      <c r="G184" s="193" t="s">
        <v>271</v>
      </c>
      <c r="H184" s="219" t="str">
        <f>IF(E184&gt;0.5,"Does not meet sizing criteria","")</f>
        <v/>
      </c>
    </row>
    <row r="185" spans="1:8" x14ac:dyDescent="0.25">
      <c r="A185" s="289" t="s">
        <v>311</v>
      </c>
      <c r="B185" s="289"/>
      <c r="C185" s="289"/>
      <c r="D185" s="198" t="s">
        <v>312</v>
      </c>
      <c r="E185" s="289">
        <v>2</v>
      </c>
      <c r="F185" s="289"/>
      <c r="G185" s="193" t="s">
        <v>313</v>
      </c>
      <c r="H185" s="219"/>
    </row>
    <row r="186" spans="1:8" x14ac:dyDescent="0.25">
      <c r="A186" s="266" t="s">
        <v>314</v>
      </c>
      <c r="B186" s="267"/>
      <c r="C186" s="268"/>
      <c r="D186" s="198" t="s">
        <v>315</v>
      </c>
      <c r="E186" s="308" t="e">
        <f>ROUND((E181*E182)/(E183*(E184+E182)*E185),0)</f>
        <v>#VALUE!</v>
      </c>
      <c r="F186" s="308"/>
      <c r="G186" s="193" t="s">
        <v>316</v>
      </c>
      <c r="H186" s="219"/>
    </row>
    <row r="187" spans="1:8" x14ac:dyDescent="0.25">
      <c r="A187" s="266" t="s">
        <v>317</v>
      </c>
      <c r="B187" s="267"/>
      <c r="C187" s="268"/>
      <c r="D187" s="198" t="s">
        <v>315</v>
      </c>
      <c r="E187" s="308">
        <f>D175*D176*D170</f>
        <v>0</v>
      </c>
      <c r="F187" s="308"/>
      <c r="G187" s="193" t="s">
        <v>316</v>
      </c>
      <c r="H187" s="219" t="str">
        <f>IF(E187="","",IF(E187=0,"",IF(E187&lt;E186,"Does not meet sizing criteria","")))</f>
        <v/>
      </c>
    </row>
    <row r="188" spans="1:8" ht="13" x14ac:dyDescent="0.25">
      <c r="A188" s="236" t="s">
        <v>276</v>
      </c>
      <c r="B188" s="237"/>
      <c r="C188" s="237"/>
      <c r="D188" s="237"/>
      <c r="E188" s="237"/>
      <c r="F188" s="237"/>
      <c r="G188" s="237"/>
      <c r="H188" s="238"/>
    </row>
    <row r="189" spans="1:8" ht="13" x14ac:dyDescent="0.25">
      <c r="A189" s="335" t="s">
        <v>241</v>
      </c>
      <c r="B189" s="335"/>
      <c r="C189" s="9" t="str">
        <f>IF(F166="","",IF(D168="YES",0,IF(D169&gt;10,0,IF(AND(D172&lt;2,D170&gt;1),0,IF(AND(D173&lt;2,D170&gt;1),0,IF(D174&lt;3,0,IF(D175&lt;5,0,IF(D176&lt;5,0,IF(D177&lt;6,0,IF(D178&gt;30,0,IF(E182&lt;3,0,IF(E184&gt;0.5,0,IF(E187&lt;E186,0,IF(D171&lt;0.5,F166*0.4,F166*1))))))))))))))</f>
        <v/>
      </c>
      <c r="D189" s="310" t="s">
        <v>2</v>
      </c>
      <c r="E189" s="311"/>
      <c r="F189" s="311"/>
      <c r="G189" s="311"/>
      <c r="H189" s="312"/>
    </row>
    <row r="190" spans="1:8" ht="13" x14ac:dyDescent="0.3">
      <c r="A190" s="24" t="s">
        <v>56</v>
      </c>
      <c r="B190" s="23" t="str">
        <f>IF('STEP 2-WQv Calculation'!$B$4="","",'STEP 2-WQv Calculation'!$B$4)</f>
        <v/>
      </c>
      <c r="C190" s="31"/>
      <c r="D190" s="31"/>
      <c r="E190" s="32"/>
      <c r="F190" s="33"/>
      <c r="G190" s="33"/>
      <c r="H190" s="33"/>
    </row>
    <row r="191" spans="1:8" ht="13" x14ac:dyDescent="0.25">
      <c r="A191" s="331" t="s">
        <v>293</v>
      </c>
      <c r="B191" s="332"/>
      <c r="C191" s="332"/>
      <c r="D191" s="332"/>
      <c r="E191" s="332"/>
      <c r="F191" s="332"/>
      <c r="G191" s="332"/>
      <c r="H191" s="333"/>
    </row>
    <row r="192" spans="1:8" ht="38.5" x14ac:dyDescent="0.25">
      <c r="A192" s="204" t="s">
        <v>60</v>
      </c>
      <c r="B192" s="205" t="s">
        <v>61</v>
      </c>
      <c r="C192" s="205" t="s">
        <v>62</v>
      </c>
      <c r="D192" s="205" t="s">
        <v>63</v>
      </c>
      <c r="E192" s="205" t="s">
        <v>64</v>
      </c>
      <c r="F192" s="205" t="s">
        <v>65</v>
      </c>
      <c r="G192" s="205" t="s">
        <v>244</v>
      </c>
      <c r="H192" s="206" t="s">
        <v>13</v>
      </c>
    </row>
    <row r="193" spans="1:8" x14ac:dyDescent="0.25">
      <c r="A193" s="17"/>
      <c r="B193" s="18" t="str">
        <f>IF($A193="","",(LOOKUP($A193,'STEP 2-WQv Calculation'!$A$8:$A$37,'STEP 2-WQv Calculation'!$B$8:$B$37)))</f>
        <v/>
      </c>
      <c r="C193" s="18" t="str">
        <f>IF($A193="","",(LOOKUP($A193,'STEP 2-WQv Calculation'!$A$8:$A$37,'STEP 2-WQv Calculation'!$C$8:$C$37)))</f>
        <v/>
      </c>
      <c r="D193" s="53" t="str">
        <f>IF($A193="","",(LOOKUP($A193,'STEP 2-WQv Calculation'!$A$8:$A$37,'STEP 2-WQv Calculation'!$D$8:$D$37)))</f>
        <v/>
      </c>
      <c r="E193" s="18" t="str">
        <f>IF($A193="","",(LOOKUP($A193,'STEP 2-WQv Calculation'!$A$8:$A$37,'STEP 2-WQv Calculation'!$E$8:$E$37)))</f>
        <v/>
      </c>
      <c r="F193" s="42" t="str">
        <f>IF($A193="","",(LOOKUP($A193,'STEP 2-WQv Calculation'!$A$8:$A$37,'STEP 2-WQv Calculation'!$F$8:$F$37)))</f>
        <v/>
      </c>
      <c r="G193" s="18">
        <f>'STEP 2-WQv Calculation'!B86</f>
        <v>0</v>
      </c>
      <c r="H193" s="29" t="str">
        <f>IF($A193="","",(LOOKUP($A193,'STEP 2-WQv Calculation'!$A$8:$A$37,'STEP 2-WQv Calculation'!$G$8:$G$37)))</f>
        <v/>
      </c>
    </row>
    <row r="194" spans="1:8" ht="13" x14ac:dyDescent="0.3">
      <c r="A194" s="273" t="s">
        <v>226</v>
      </c>
      <c r="B194" s="273"/>
      <c r="C194" s="273"/>
      <c r="D194" s="273"/>
      <c r="E194" s="273"/>
      <c r="F194" s="273"/>
      <c r="G194" s="273"/>
      <c r="H194" s="273"/>
    </row>
    <row r="195" spans="1:8" x14ac:dyDescent="0.25">
      <c r="A195" s="245" t="s">
        <v>247</v>
      </c>
      <c r="B195" s="245"/>
      <c r="C195" s="245"/>
      <c r="D195" s="211"/>
      <c r="E195" s="322" t="str">
        <f>IF(D195="","This practice cannot be used for hotspot treatment",IF(D195="Yes","Does not meet design criteria",""))</f>
        <v>This practice cannot be used for hotspot treatment</v>
      </c>
      <c r="F195" s="323"/>
      <c r="G195" s="323"/>
      <c r="H195" s="324"/>
    </row>
    <row r="196" spans="1:8" x14ac:dyDescent="0.25">
      <c r="A196" s="245" t="s">
        <v>279</v>
      </c>
      <c r="B196" s="245"/>
      <c r="C196" s="245"/>
      <c r="D196" s="209"/>
      <c r="E196" s="322" t="str">
        <f>IF(D196&gt;10,"Does not meet design criteria","")</f>
        <v/>
      </c>
      <c r="F196" s="323"/>
      <c r="G196" s="323"/>
      <c r="H196" s="324"/>
    </row>
    <row r="197" spans="1:8" x14ac:dyDescent="0.25">
      <c r="A197" s="245" t="s">
        <v>294</v>
      </c>
      <c r="B197" s="245"/>
      <c r="C197" s="245"/>
      <c r="D197" s="59"/>
      <c r="E197" s="322"/>
      <c r="F197" s="323"/>
      <c r="G197" s="323"/>
      <c r="H197" s="324"/>
    </row>
    <row r="198" spans="1:8" x14ac:dyDescent="0.25">
      <c r="A198" s="242" t="s">
        <v>295</v>
      </c>
      <c r="B198" s="243"/>
      <c r="C198" s="244"/>
      <c r="D198" s="60"/>
      <c r="E198" s="322" t="str">
        <f>IF(D198="","",IF(AND(D198&lt;0.5,D197&gt;1),"Underdrains required",""))</f>
        <v/>
      </c>
      <c r="F198" s="323"/>
      <c r="G198" s="323"/>
      <c r="H198" s="324"/>
    </row>
    <row r="199" spans="1:8" x14ac:dyDescent="0.25">
      <c r="A199" s="242" t="s">
        <v>296</v>
      </c>
      <c r="B199" s="243"/>
      <c r="C199" s="244"/>
      <c r="D199" s="59"/>
      <c r="E199" s="322" t="str">
        <f>IF(D199="","",IF(AND(D199&lt;2,D197&gt;1),"Does not meet criteria",""))</f>
        <v/>
      </c>
      <c r="F199" s="323"/>
      <c r="G199" s="323"/>
      <c r="H199" s="324"/>
    </row>
    <row r="200" spans="1:8" x14ac:dyDescent="0.25">
      <c r="A200" s="242" t="s">
        <v>297</v>
      </c>
      <c r="B200" s="243"/>
      <c r="C200" s="244"/>
      <c r="D200" s="59"/>
      <c r="E200" s="322" t="str">
        <f>IF(D200="","",IF(AND(D200&lt;2,D197&gt;1),"Does not meet criteria",""))</f>
        <v/>
      </c>
      <c r="F200" s="323"/>
      <c r="G200" s="323"/>
      <c r="H200" s="324"/>
    </row>
    <row r="201" spans="1:8" x14ac:dyDescent="0.25">
      <c r="A201" s="242" t="s">
        <v>285</v>
      </c>
      <c r="B201" s="243"/>
      <c r="C201" s="244"/>
      <c r="D201" s="59"/>
      <c r="E201" s="322" t="str">
        <f>IF(D201&gt;3,"Does not meet design criteria","")</f>
        <v/>
      </c>
      <c r="F201" s="323"/>
      <c r="G201" s="323"/>
      <c r="H201" s="324"/>
    </row>
    <row r="202" spans="1:8" x14ac:dyDescent="0.25">
      <c r="A202" s="242" t="s">
        <v>287</v>
      </c>
      <c r="B202" s="243"/>
      <c r="C202" s="244"/>
      <c r="D202" s="59"/>
      <c r="E202" s="322" t="str">
        <f>IF(D202="","",IF(D202&lt;5,"Does not meet design criteria",""))</f>
        <v/>
      </c>
      <c r="F202" s="323"/>
      <c r="G202" s="323"/>
      <c r="H202" s="324"/>
    </row>
    <row r="203" spans="1:8" x14ac:dyDescent="0.25">
      <c r="A203" s="242" t="s">
        <v>288</v>
      </c>
      <c r="B203" s="243"/>
      <c r="C203" s="244"/>
      <c r="D203" s="59"/>
      <c r="E203" s="322" t="str">
        <f>IF(D203="","",IF(D203&lt;5,"Does not meet design criteria",""))</f>
        <v/>
      </c>
      <c r="F203" s="323"/>
      <c r="G203" s="323"/>
      <c r="H203" s="324"/>
    </row>
    <row r="204" spans="1:8" x14ac:dyDescent="0.25">
      <c r="A204" s="242" t="s">
        <v>300</v>
      </c>
      <c r="B204" s="243"/>
      <c r="C204" s="244"/>
      <c r="D204" s="59"/>
      <c r="E204" s="322" t="str">
        <f>IF(D204="","",IF(D204&lt;6,"Does not meet design criteria",IF(D198&lt;0.5,"10 inch min. required","")))</f>
        <v/>
      </c>
      <c r="F204" s="323"/>
      <c r="G204" s="323"/>
      <c r="H204" s="324"/>
    </row>
    <row r="205" spans="1:8" x14ac:dyDescent="0.25">
      <c r="A205" s="242" t="s">
        <v>301</v>
      </c>
      <c r="B205" s="243"/>
      <c r="C205" s="244"/>
      <c r="D205" s="59"/>
      <c r="E205" s="322" t="str">
        <f>IF(D205&gt;30,"Does not meet design criteria","")</f>
        <v/>
      </c>
      <c r="F205" s="323"/>
      <c r="G205" s="323"/>
      <c r="H205" s="324"/>
    </row>
    <row r="206" spans="1:8" ht="13" x14ac:dyDescent="0.25">
      <c r="A206" s="236" t="s">
        <v>232</v>
      </c>
      <c r="B206" s="237"/>
      <c r="C206" s="237"/>
      <c r="D206" s="237"/>
      <c r="E206" s="237"/>
      <c r="F206" s="237"/>
      <c r="G206" s="237"/>
      <c r="H206" s="238"/>
    </row>
    <row r="207" spans="1:8" ht="13" x14ac:dyDescent="0.25">
      <c r="A207" s="35"/>
      <c r="B207" s="36"/>
      <c r="C207" s="36"/>
      <c r="D207" s="37"/>
      <c r="E207" s="302" t="s">
        <v>256</v>
      </c>
      <c r="F207" s="302"/>
      <c r="G207" s="38" t="s">
        <v>257</v>
      </c>
      <c r="H207" s="38" t="s">
        <v>258</v>
      </c>
    </row>
    <row r="208" spans="1:8" x14ac:dyDescent="0.25">
      <c r="A208" s="289" t="s">
        <v>302</v>
      </c>
      <c r="B208" s="289"/>
      <c r="C208" s="289"/>
      <c r="D208" s="198" t="s">
        <v>303</v>
      </c>
      <c r="E208" s="334" t="str">
        <f>F193</f>
        <v/>
      </c>
      <c r="F208" s="334"/>
      <c r="G208" s="193" t="s">
        <v>2</v>
      </c>
      <c r="H208" s="219"/>
    </row>
    <row r="209" spans="1:8" ht="25" x14ac:dyDescent="0.25">
      <c r="A209" s="289" t="s">
        <v>304</v>
      </c>
      <c r="B209" s="289"/>
      <c r="C209" s="289"/>
      <c r="D209" s="198" t="s">
        <v>305</v>
      </c>
      <c r="E209" s="330"/>
      <c r="F209" s="330"/>
      <c r="G209" s="193" t="s">
        <v>271</v>
      </c>
      <c r="H209" s="219" t="str">
        <f>IF(E209&lt;3,"Does not meet design criteria","")</f>
        <v>Does not meet design criteria</v>
      </c>
    </row>
    <row r="210" spans="1:8" x14ac:dyDescent="0.25">
      <c r="A210" s="266" t="s">
        <v>306</v>
      </c>
      <c r="B210" s="267"/>
      <c r="C210" s="268"/>
      <c r="D210" s="198" t="s">
        <v>307</v>
      </c>
      <c r="E210" s="289">
        <v>1</v>
      </c>
      <c r="F210" s="289"/>
      <c r="G210" s="193" t="s">
        <v>308</v>
      </c>
      <c r="H210" s="219" t="str">
        <f>IF(E210&gt;1,"Sizing as Filter","")</f>
        <v/>
      </c>
    </row>
    <row r="211" spans="1:8" x14ac:dyDescent="0.25">
      <c r="A211" s="289" t="s">
        <v>309</v>
      </c>
      <c r="B211" s="289"/>
      <c r="C211" s="289"/>
      <c r="D211" s="198" t="s">
        <v>310</v>
      </c>
      <c r="E211" s="330"/>
      <c r="F211" s="330"/>
      <c r="G211" s="193" t="s">
        <v>271</v>
      </c>
      <c r="H211" s="219" t="str">
        <f>IF(E211&gt;0.5,"Does not meet sizing criteria","")</f>
        <v/>
      </c>
    </row>
    <row r="212" spans="1:8" x14ac:dyDescent="0.25">
      <c r="A212" s="289" t="s">
        <v>311</v>
      </c>
      <c r="B212" s="289"/>
      <c r="C212" s="289"/>
      <c r="D212" s="198" t="s">
        <v>312</v>
      </c>
      <c r="E212" s="289">
        <v>2</v>
      </c>
      <c r="F212" s="289"/>
      <c r="G212" s="193" t="s">
        <v>313</v>
      </c>
      <c r="H212" s="219"/>
    </row>
    <row r="213" spans="1:8" x14ac:dyDescent="0.25">
      <c r="A213" s="266" t="s">
        <v>314</v>
      </c>
      <c r="B213" s="267"/>
      <c r="C213" s="268"/>
      <c r="D213" s="198" t="s">
        <v>315</v>
      </c>
      <c r="E213" s="308" t="e">
        <f>ROUND((E208*E209)/(E210*(E211+E209)*E212),0)</f>
        <v>#VALUE!</v>
      </c>
      <c r="F213" s="308"/>
      <c r="G213" s="193" t="s">
        <v>316</v>
      </c>
      <c r="H213" s="219"/>
    </row>
    <row r="214" spans="1:8" x14ac:dyDescent="0.25">
      <c r="A214" s="266" t="s">
        <v>317</v>
      </c>
      <c r="B214" s="267"/>
      <c r="C214" s="268"/>
      <c r="D214" s="198" t="s">
        <v>315</v>
      </c>
      <c r="E214" s="308">
        <f>D202*D203*D197</f>
        <v>0</v>
      </c>
      <c r="F214" s="308"/>
      <c r="G214" s="193" t="s">
        <v>316</v>
      </c>
      <c r="H214" s="219" t="str">
        <f>IF(E214="","",IF(E214=0,"",IF(E214&lt;E213,"Does not meet sizing criteria","")))</f>
        <v/>
      </c>
    </row>
    <row r="215" spans="1:8" ht="13" x14ac:dyDescent="0.25">
      <c r="A215" s="236" t="s">
        <v>276</v>
      </c>
      <c r="B215" s="237"/>
      <c r="C215" s="237"/>
      <c r="D215" s="237"/>
      <c r="E215" s="237"/>
      <c r="F215" s="237"/>
      <c r="G215" s="237"/>
      <c r="H215" s="238"/>
    </row>
    <row r="216" spans="1:8" ht="13" x14ac:dyDescent="0.25">
      <c r="A216" s="335" t="s">
        <v>241</v>
      </c>
      <c r="B216" s="335"/>
      <c r="C216" s="9" t="str">
        <f>IF(F193="","",IF(D195="YES",0,IF(D196&gt;10,0,IF(AND(D199&lt;2,D197&gt;1),0,IF(AND(D200&lt;2,D197&gt;1),0,IF(D201&lt;3,0,IF(D202&lt;5,0,IF(D203&lt;5,0,IF(D204&lt;6,0,IF(D205&gt;30,0,IF(E209&lt;3,0,IF(E211&gt;0.5,0,IF(E214&lt;E213,0,IF(D198&lt;0.5,F193*0.4,F193*1))))))))))))))</f>
        <v/>
      </c>
      <c r="D216" s="310" t="s">
        <v>2</v>
      </c>
      <c r="E216" s="311"/>
      <c r="F216" s="311"/>
      <c r="G216" s="311"/>
      <c r="H216" s="312"/>
    </row>
    <row r="217" spans="1:8" ht="13" x14ac:dyDescent="0.3">
      <c r="A217" s="24" t="s">
        <v>56</v>
      </c>
      <c r="B217" s="23" t="str">
        <f>IF('STEP 2-WQv Calculation'!$B$4="","",'STEP 2-WQv Calculation'!$B$4)</f>
        <v/>
      </c>
      <c r="C217" s="31"/>
      <c r="D217" s="31"/>
      <c r="E217" s="32"/>
      <c r="F217" s="33"/>
      <c r="G217" s="33"/>
      <c r="H217" s="33"/>
    </row>
    <row r="218" spans="1:8" ht="13" x14ac:dyDescent="0.25">
      <c r="A218" s="331" t="s">
        <v>293</v>
      </c>
      <c r="B218" s="332"/>
      <c r="C218" s="332"/>
      <c r="D218" s="332"/>
      <c r="E218" s="332"/>
      <c r="F218" s="332"/>
      <c r="G218" s="332"/>
      <c r="H218" s="333"/>
    </row>
    <row r="219" spans="1:8" ht="38.5" x14ac:dyDescent="0.25">
      <c r="A219" s="204" t="s">
        <v>60</v>
      </c>
      <c r="B219" s="205" t="s">
        <v>61</v>
      </c>
      <c r="C219" s="205" t="s">
        <v>62</v>
      </c>
      <c r="D219" s="205" t="s">
        <v>63</v>
      </c>
      <c r="E219" s="205" t="s">
        <v>64</v>
      </c>
      <c r="F219" s="205" t="s">
        <v>65</v>
      </c>
      <c r="G219" s="205" t="s">
        <v>244</v>
      </c>
      <c r="H219" s="206" t="s">
        <v>13</v>
      </c>
    </row>
    <row r="220" spans="1:8" x14ac:dyDescent="0.25">
      <c r="A220" s="17"/>
      <c r="B220" s="18" t="str">
        <f>IF($A220="","",(LOOKUP($A220,'STEP 2-WQv Calculation'!$A$8:$A$37,'STEP 2-WQv Calculation'!$B$8:$B$37)))</f>
        <v/>
      </c>
      <c r="C220" s="18" t="str">
        <f>IF($A220="","",(LOOKUP($A220,'STEP 2-WQv Calculation'!$A$8:$A$37,'STEP 2-WQv Calculation'!$C$8:$C$37)))</f>
        <v/>
      </c>
      <c r="D220" s="53" t="str">
        <f>IF($A220="","",(LOOKUP($A220,'STEP 2-WQv Calculation'!$A$8:$A$37,'STEP 2-WQv Calculation'!$D$8:$D$37)))</f>
        <v/>
      </c>
      <c r="E220" s="18" t="str">
        <f>IF($A220="","",(LOOKUP($A220,'STEP 2-WQv Calculation'!$A$8:$A$37,'STEP 2-WQv Calculation'!$E$8:$E$37)))</f>
        <v/>
      </c>
      <c r="F220" s="42" t="str">
        <f>IF($A220="","",(LOOKUP($A220,'STEP 2-WQv Calculation'!$A$8:$A$37,'STEP 2-WQv Calculation'!$F$8:$F$37)))</f>
        <v/>
      </c>
      <c r="G220" s="18">
        <f>'STEP 2-WQv Calculation'!B113</f>
        <v>0</v>
      </c>
      <c r="H220" s="29" t="str">
        <f>IF($A220="","",(LOOKUP($A220,'STEP 2-WQv Calculation'!$A$8:$A$37,'STEP 2-WQv Calculation'!$G$8:$G$37)))</f>
        <v/>
      </c>
    </row>
    <row r="221" spans="1:8" ht="13" x14ac:dyDescent="0.3">
      <c r="A221" s="273" t="s">
        <v>226</v>
      </c>
      <c r="B221" s="273"/>
      <c r="C221" s="273"/>
      <c r="D221" s="273"/>
      <c r="E221" s="273"/>
      <c r="F221" s="273"/>
      <c r="G221" s="273"/>
      <c r="H221" s="273"/>
    </row>
    <row r="222" spans="1:8" x14ac:dyDescent="0.25">
      <c r="A222" s="245" t="s">
        <v>247</v>
      </c>
      <c r="B222" s="245"/>
      <c r="C222" s="245"/>
      <c r="D222" s="211"/>
      <c r="E222" s="322" t="str">
        <f>IF(D222="","This practice cannot be used for hotspot treatment",IF(D222="Yes","Does not meet design criteria",""))</f>
        <v>This practice cannot be used for hotspot treatment</v>
      </c>
      <c r="F222" s="323"/>
      <c r="G222" s="323"/>
      <c r="H222" s="324"/>
    </row>
    <row r="223" spans="1:8" x14ac:dyDescent="0.25">
      <c r="A223" s="245" t="s">
        <v>279</v>
      </c>
      <c r="B223" s="245"/>
      <c r="C223" s="245"/>
      <c r="D223" s="209"/>
      <c r="E223" s="322" t="str">
        <f>IF(D223&gt;10,"Does not meet design criteria","")</f>
        <v/>
      </c>
      <c r="F223" s="323"/>
      <c r="G223" s="323"/>
      <c r="H223" s="324"/>
    </row>
    <row r="224" spans="1:8" x14ac:dyDescent="0.25">
      <c r="A224" s="245" t="s">
        <v>294</v>
      </c>
      <c r="B224" s="245"/>
      <c r="C224" s="245"/>
      <c r="D224" s="59"/>
      <c r="E224" s="322"/>
      <c r="F224" s="323"/>
      <c r="G224" s="323"/>
      <c r="H224" s="324"/>
    </row>
    <row r="225" spans="1:8" x14ac:dyDescent="0.25">
      <c r="A225" s="242" t="s">
        <v>295</v>
      </c>
      <c r="B225" s="243"/>
      <c r="C225" s="244"/>
      <c r="D225" s="60"/>
      <c r="E225" s="322" t="str">
        <f>IF(D225="","",IF(AND(D225&lt;0.5,D224&gt;1),"Underdrains required",""))</f>
        <v/>
      </c>
      <c r="F225" s="323"/>
      <c r="G225" s="323"/>
      <c r="H225" s="324"/>
    </row>
    <row r="226" spans="1:8" x14ac:dyDescent="0.25">
      <c r="A226" s="242" t="s">
        <v>296</v>
      </c>
      <c r="B226" s="243"/>
      <c r="C226" s="244"/>
      <c r="D226" s="59"/>
      <c r="E226" s="322" t="str">
        <f>IF(D226="","",IF(AND(D226&lt;2,D224&gt;1),"Does not meet criteria",""))</f>
        <v/>
      </c>
      <c r="F226" s="323"/>
      <c r="G226" s="323"/>
      <c r="H226" s="324"/>
    </row>
    <row r="227" spans="1:8" x14ac:dyDescent="0.25">
      <c r="A227" s="242" t="s">
        <v>297</v>
      </c>
      <c r="B227" s="243"/>
      <c r="C227" s="244"/>
      <c r="D227" s="59"/>
      <c r="E227" s="322" t="str">
        <f>IF(D227="","",IF(AND(D227&lt;2,D224&gt;1),"Does not meet criteria",""))</f>
        <v/>
      </c>
      <c r="F227" s="323"/>
      <c r="G227" s="323"/>
      <c r="H227" s="324"/>
    </row>
    <row r="228" spans="1:8" x14ac:dyDescent="0.25">
      <c r="A228" s="242" t="s">
        <v>285</v>
      </c>
      <c r="B228" s="243"/>
      <c r="C228" s="244"/>
      <c r="D228" s="59"/>
      <c r="E228" s="322" t="str">
        <f>IF(D228&gt;3,"Does not meet design criteria","")</f>
        <v/>
      </c>
      <c r="F228" s="323"/>
      <c r="G228" s="323"/>
      <c r="H228" s="324"/>
    </row>
    <row r="229" spans="1:8" x14ac:dyDescent="0.25">
      <c r="A229" s="242" t="s">
        <v>287</v>
      </c>
      <c r="B229" s="243"/>
      <c r="C229" s="244"/>
      <c r="D229" s="59"/>
      <c r="E229" s="322" t="str">
        <f>IF(D229="","",IF(D229&lt;5,"Does not meet design criteria",""))</f>
        <v/>
      </c>
      <c r="F229" s="323"/>
      <c r="G229" s="323"/>
      <c r="H229" s="324"/>
    </row>
    <row r="230" spans="1:8" x14ac:dyDescent="0.25">
      <c r="A230" s="242" t="s">
        <v>288</v>
      </c>
      <c r="B230" s="243"/>
      <c r="C230" s="244"/>
      <c r="D230" s="59"/>
      <c r="E230" s="322" t="str">
        <f>IF(D230="","",IF(D230&lt;5,"Does not meet design criteria",""))</f>
        <v/>
      </c>
      <c r="F230" s="323"/>
      <c r="G230" s="323"/>
      <c r="H230" s="324"/>
    </row>
    <row r="231" spans="1:8" x14ac:dyDescent="0.25">
      <c r="A231" s="242" t="s">
        <v>300</v>
      </c>
      <c r="B231" s="243"/>
      <c r="C231" s="244"/>
      <c r="D231" s="59"/>
      <c r="E231" s="322" t="str">
        <f>IF(D231="","",IF(D231&lt;6,"Does not meet design criteria",IF(D225&lt;0.5,"10 inch min. required","")))</f>
        <v/>
      </c>
      <c r="F231" s="323"/>
      <c r="G231" s="323"/>
      <c r="H231" s="324"/>
    </row>
    <row r="232" spans="1:8" x14ac:dyDescent="0.25">
      <c r="A232" s="242" t="s">
        <v>301</v>
      </c>
      <c r="B232" s="243"/>
      <c r="C232" s="244"/>
      <c r="D232" s="59"/>
      <c r="E232" s="322" t="str">
        <f>IF(D232&gt;30,"Does not meet design criteria","")</f>
        <v/>
      </c>
      <c r="F232" s="323"/>
      <c r="G232" s="323"/>
      <c r="H232" s="324"/>
    </row>
    <row r="233" spans="1:8" ht="13" x14ac:dyDescent="0.25">
      <c r="A233" s="236" t="s">
        <v>232</v>
      </c>
      <c r="B233" s="237"/>
      <c r="C233" s="237"/>
      <c r="D233" s="237"/>
      <c r="E233" s="237"/>
      <c r="F233" s="237"/>
      <c r="G233" s="237"/>
      <c r="H233" s="238"/>
    </row>
    <row r="234" spans="1:8" ht="13" x14ac:dyDescent="0.25">
      <c r="A234" s="35"/>
      <c r="B234" s="36"/>
      <c r="C234" s="36"/>
      <c r="D234" s="37"/>
      <c r="E234" s="302" t="s">
        <v>256</v>
      </c>
      <c r="F234" s="302"/>
      <c r="G234" s="38" t="s">
        <v>257</v>
      </c>
      <c r="H234" s="38" t="s">
        <v>258</v>
      </c>
    </row>
    <row r="235" spans="1:8" x14ac:dyDescent="0.25">
      <c r="A235" s="289" t="s">
        <v>302</v>
      </c>
      <c r="B235" s="289"/>
      <c r="C235" s="289"/>
      <c r="D235" s="198" t="s">
        <v>303</v>
      </c>
      <c r="E235" s="334" t="str">
        <f>F220</f>
        <v/>
      </c>
      <c r="F235" s="334"/>
      <c r="G235" s="193" t="s">
        <v>2</v>
      </c>
      <c r="H235" s="219"/>
    </row>
    <row r="236" spans="1:8" ht="25" x14ac:dyDescent="0.25">
      <c r="A236" s="289" t="s">
        <v>304</v>
      </c>
      <c r="B236" s="289"/>
      <c r="C236" s="289"/>
      <c r="D236" s="198" t="s">
        <v>305</v>
      </c>
      <c r="E236" s="330"/>
      <c r="F236" s="330"/>
      <c r="G236" s="193" t="s">
        <v>271</v>
      </c>
      <c r="H236" s="219" t="str">
        <f>IF(E236&lt;3,"Does not meet design criteria","")</f>
        <v>Does not meet design criteria</v>
      </c>
    </row>
    <row r="237" spans="1:8" x14ac:dyDescent="0.25">
      <c r="A237" s="266" t="s">
        <v>306</v>
      </c>
      <c r="B237" s="267"/>
      <c r="C237" s="268"/>
      <c r="D237" s="198" t="s">
        <v>307</v>
      </c>
      <c r="E237" s="289">
        <v>1</v>
      </c>
      <c r="F237" s="289"/>
      <c r="G237" s="193" t="s">
        <v>308</v>
      </c>
      <c r="H237" s="219" t="str">
        <f>IF(E237&gt;1,"Sizing as Filter","")</f>
        <v/>
      </c>
    </row>
    <row r="238" spans="1:8" x14ac:dyDescent="0.25">
      <c r="A238" s="289" t="s">
        <v>309</v>
      </c>
      <c r="B238" s="289"/>
      <c r="C238" s="289"/>
      <c r="D238" s="198" t="s">
        <v>310</v>
      </c>
      <c r="E238" s="330"/>
      <c r="F238" s="330"/>
      <c r="G238" s="193" t="s">
        <v>271</v>
      </c>
      <c r="H238" s="219" t="str">
        <f>IF(E238&gt;0.5,"Does not meet sizing criteria","")</f>
        <v/>
      </c>
    </row>
    <row r="239" spans="1:8" x14ac:dyDescent="0.25">
      <c r="A239" s="289" t="s">
        <v>311</v>
      </c>
      <c r="B239" s="289"/>
      <c r="C239" s="289"/>
      <c r="D239" s="198" t="s">
        <v>312</v>
      </c>
      <c r="E239" s="289">
        <v>2</v>
      </c>
      <c r="F239" s="289"/>
      <c r="G239" s="193" t="s">
        <v>313</v>
      </c>
      <c r="H239" s="219"/>
    </row>
    <row r="240" spans="1:8" x14ac:dyDescent="0.25">
      <c r="A240" s="266" t="s">
        <v>314</v>
      </c>
      <c r="B240" s="267"/>
      <c r="C240" s="268"/>
      <c r="D240" s="198" t="s">
        <v>315</v>
      </c>
      <c r="E240" s="308" t="e">
        <f>ROUND((E235*E236)/(E237*(E238+E236)*E239),0)</f>
        <v>#VALUE!</v>
      </c>
      <c r="F240" s="308"/>
      <c r="G240" s="193" t="s">
        <v>316</v>
      </c>
      <c r="H240" s="219"/>
    </row>
    <row r="241" spans="1:8" x14ac:dyDescent="0.25">
      <c r="A241" s="266" t="s">
        <v>317</v>
      </c>
      <c r="B241" s="267"/>
      <c r="C241" s="268"/>
      <c r="D241" s="198" t="s">
        <v>315</v>
      </c>
      <c r="E241" s="308">
        <f>D229*D230*D224</f>
        <v>0</v>
      </c>
      <c r="F241" s="308"/>
      <c r="G241" s="193" t="s">
        <v>316</v>
      </c>
      <c r="H241" s="219" t="str">
        <f>IF(E241="","",IF(E241=0,"",IF(E241&lt;E240,"Does not meet sizing criteria","")))</f>
        <v/>
      </c>
    </row>
    <row r="242" spans="1:8" ht="13" x14ac:dyDescent="0.25">
      <c r="A242" s="236" t="s">
        <v>276</v>
      </c>
      <c r="B242" s="237"/>
      <c r="C242" s="237"/>
      <c r="D242" s="237"/>
      <c r="E242" s="237"/>
      <c r="F242" s="237"/>
      <c r="G242" s="237"/>
      <c r="H242" s="238"/>
    </row>
    <row r="243" spans="1:8" ht="13" x14ac:dyDescent="0.25">
      <c r="A243" s="335" t="s">
        <v>241</v>
      </c>
      <c r="B243" s="335"/>
      <c r="C243" s="9" t="str">
        <f>IF(F220="","",IF(D222="YES",0,IF(D223&gt;10,0,IF(AND(D226&lt;2,D224&gt;1),0,IF(AND(D227&lt;2,D224&gt;1),0,IF(D228&lt;3,0,IF(D229&lt;5,0,IF(D230&lt;5,0,IF(D231&lt;6,0,IF(D232&gt;30,0,IF(E236&lt;3,0,IF(E238&gt;0.5,0,IF(E241&lt;E240,0,IF(D225&lt;0.5,F220*0.4,F220*1))))))))))))))</f>
        <v/>
      </c>
      <c r="D243" s="310" t="s">
        <v>2</v>
      </c>
      <c r="E243" s="311"/>
      <c r="F243" s="311"/>
      <c r="G243" s="311"/>
      <c r="H243" s="312"/>
    </row>
    <row r="244" spans="1:8" ht="13" x14ac:dyDescent="0.3">
      <c r="A244" s="24" t="s">
        <v>56</v>
      </c>
      <c r="B244" s="23" t="str">
        <f>IF('STEP 2-WQv Calculation'!$B$4="","",'STEP 2-WQv Calculation'!$B$4)</f>
        <v/>
      </c>
      <c r="C244" s="31"/>
      <c r="D244" s="31"/>
      <c r="E244" s="32"/>
      <c r="F244" s="33"/>
      <c r="G244" s="33"/>
      <c r="H244" s="33"/>
    </row>
    <row r="245" spans="1:8" ht="13" x14ac:dyDescent="0.25">
      <c r="A245" s="331" t="s">
        <v>293</v>
      </c>
      <c r="B245" s="332"/>
      <c r="C245" s="332"/>
      <c r="D245" s="332"/>
      <c r="E245" s="332"/>
      <c r="F245" s="332"/>
      <c r="G245" s="332"/>
      <c r="H245" s="333"/>
    </row>
    <row r="246" spans="1:8" ht="38.5" x14ac:dyDescent="0.25">
      <c r="A246" s="204" t="s">
        <v>60</v>
      </c>
      <c r="B246" s="205" t="s">
        <v>61</v>
      </c>
      <c r="C246" s="205" t="s">
        <v>62</v>
      </c>
      <c r="D246" s="205" t="s">
        <v>63</v>
      </c>
      <c r="E246" s="205" t="s">
        <v>64</v>
      </c>
      <c r="F246" s="205" t="s">
        <v>65</v>
      </c>
      <c r="G246" s="205" t="s">
        <v>244</v>
      </c>
      <c r="H246" s="206" t="s">
        <v>13</v>
      </c>
    </row>
    <row r="247" spans="1:8" x14ac:dyDescent="0.25">
      <c r="A247" s="17"/>
      <c r="B247" s="18" t="str">
        <f>IF($A247="","",(LOOKUP($A247,'STEP 2-WQv Calculation'!$A$8:$A$37,'STEP 2-WQv Calculation'!$B$8:$B$37)))</f>
        <v/>
      </c>
      <c r="C247" s="18" t="str">
        <f>IF($A247="","",(LOOKUP($A247,'STEP 2-WQv Calculation'!$A$8:$A$37,'STEP 2-WQv Calculation'!$C$8:$C$37)))</f>
        <v/>
      </c>
      <c r="D247" s="53" t="str">
        <f>IF($A247="","",(LOOKUP($A247,'STEP 2-WQv Calculation'!$A$8:$A$37,'STEP 2-WQv Calculation'!$D$8:$D$37)))</f>
        <v/>
      </c>
      <c r="E247" s="18" t="str">
        <f>IF($A247="","",(LOOKUP($A247,'STEP 2-WQv Calculation'!$A$8:$A$37,'STEP 2-WQv Calculation'!$E$8:$E$37)))</f>
        <v/>
      </c>
      <c r="F247" s="42" t="str">
        <f>IF($A247="","",(LOOKUP($A247,'STEP 2-WQv Calculation'!$A$8:$A$37,'STEP 2-WQv Calculation'!$F$8:$F$37)))</f>
        <v/>
      </c>
      <c r="G247" s="18">
        <f>'STEP 2-WQv Calculation'!B140</f>
        <v>0</v>
      </c>
      <c r="H247" s="29" t="str">
        <f>IF($A247="","",(LOOKUP($A247,'STEP 2-WQv Calculation'!$A$8:$A$37,'STEP 2-WQv Calculation'!$G$8:$G$37)))</f>
        <v/>
      </c>
    </row>
    <row r="248" spans="1:8" ht="13" x14ac:dyDescent="0.3">
      <c r="A248" s="273" t="s">
        <v>226</v>
      </c>
      <c r="B248" s="273"/>
      <c r="C248" s="273"/>
      <c r="D248" s="273"/>
      <c r="E248" s="273"/>
      <c r="F248" s="273"/>
      <c r="G248" s="273"/>
      <c r="H248" s="273"/>
    </row>
    <row r="249" spans="1:8" x14ac:dyDescent="0.25">
      <c r="A249" s="245" t="s">
        <v>247</v>
      </c>
      <c r="B249" s="245"/>
      <c r="C249" s="245"/>
      <c r="D249" s="211"/>
      <c r="E249" s="322" t="str">
        <f>IF(D249="","This practice cannot be used for hotspot treatment",IF(D249="Yes","Does not meet design criteria",""))</f>
        <v>This practice cannot be used for hotspot treatment</v>
      </c>
      <c r="F249" s="323"/>
      <c r="G249" s="323"/>
      <c r="H249" s="324"/>
    </row>
    <row r="250" spans="1:8" x14ac:dyDescent="0.25">
      <c r="A250" s="245" t="s">
        <v>279</v>
      </c>
      <c r="B250" s="245"/>
      <c r="C250" s="245"/>
      <c r="D250" s="209"/>
      <c r="E250" s="322" t="str">
        <f>IF(D250&gt;10,"Does not meet design criteria","")</f>
        <v/>
      </c>
      <c r="F250" s="323"/>
      <c r="G250" s="323"/>
      <c r="H250" s="324"/>
    </row>
    <row r="251" spans="1:8" x14ac:dyDescent="0.25">
      <c r="A251" s="245" t="s">
        <v>294</v>
      </c>
      <c r="B251" s="245"/>
      <c r="C251" s="245"/>
      <c r="D251" s="59"/>
      <c r="E251" s="322"/>
      <c r="F251" s="323"/>
      <c r="G251" s="323"/>
      <c r="H251" s="324"/>
    </row>
    <row r="252" spans="1:8" x14ac:dyDescent="0.25">
      <c r="A252" s="242" t="s">
        <v>295</v>
      </c>
      <c r="B252" s="243"/>
      <c r="C252" s="244"/>
      <c r="D252" s="60"/>
      <c r="E252" s="322" t="str">
        <f>IF(D252="","",IF(AND(D252&lt;0.5,D251&gt;1),"Underdrains required",""))</f>
        <v/>
      </c>
      <c r="F252" s="323"/>
      <c r="G252" s="323"/>
      <c r="H252" s="324"/>
    </row>
    <row r="253" spans="1:8" x14ac:dyDescent="0.25">
      <c r="A253" s="242" t="s">
        <v>296</v>
      </c>
      <c r="B253" s="243"/>
      <c r="C253" s="244"/>
      <c r="D253" s="59"/>
      <c r="E253" s="322" t="str">
        <f>IF(D253="","",IF(AND(D253&lt;2,D251&gt;1),"Does not meet criteria",""))</f>
        <v/>
      </c>
      <c r="F253" s="323"/>
      <c r="G253" s="323"/>
      <c r="H253" s="324"/>
    </row>
    <row r="254" spans="1:8" x14ac:dyDescent="0.25">
      <c r="A254" s="242" t="s">
        <v>297</v>
      </c>
      <c r="B254" s="243"/>
      <c r="C254" s="244"/>
      <c r="D254" s="59"/>
      <c r="E254" s="322" t="str">
        <f>IF(D254="","",IF(AND(D254&lt;2,D251&gt;1),"Does not meet criteria",""))</f>
        <v/>
      </c>
      <c r="F254" s="323"/>
      <c r="G254" s="323"/>
      <c r="H254" s="324"/>
    </row>
    <row r="255" spans="1:8" x14ac:dyDescent="0.25">
      <c r="A255" s="242" t="s">
        <v>285</v>
      </c>
      <c r="B255" s="243"/>
      <c r="C255" s="244"/>
      <c r="D255" s="59"/>
      <c r="E255" s="322" t="str">
        <f>IF(D255&gt;3,"Does not meet design criteria","")</f>
        <v/>
      </c>
      <c r="F255" s="323"/>
      <c r="G255" s="323"/>
      <c r="H255" s="324"/>
    </row>
    <row r="256" spans="1:8" x14ac:dyDescent="0.25">
      <c r="A256" s="242" t="s">
        <v>287</v>
      </c>
      <c r="B256" s="243"/>
      <c r="C256" s="244"/>
      <c r="D256" s="59"/>
      <c r="E256" s="322" t="str">
        <f>IF(D256="","",IF(D256&lt;5,"Does not meet design criteria",""))</f>
        <v/>
      </c>
      <c r="F256" s="323"/>
      <c r="G256" s="323"/>
      <c r="H256" s="324"/>
    </row>
    <row r="257" spans="1:8" x14ac:dyDescent="0.25">
      <c r="A257" s="242" t="s">
        <v>288</v>
      </c>
      <c r="B257" s="243"/>
      <c r="C257" s="244"/>
      <c r="D257" s="59"/>
      <c r="E257" s="322" t="str">
        <f>IF(D257="","",IF(D257&lt;5,"Does not meet design criteria",""))</f>
        <v/>
      </c>
      <c r="F257" s="323"/>
      <c r="G257" s="323"/>
      <c r="H257" s="324"/>
    </row>
    <row r="258" spans="1:8" x14ac:dyDescent="0.25">
      <c r="A258" s="242" t="s">
        <v>300</v>
      </c>
      <c r="B258" s="243"/>
      <c r="C258" s="244"/>
      <c r="D258" s="59"/>
      <c r="E258" s="322" t="str">
        <f>IF(D258="","",IF(D258&lt;6,"Does not meet design criteria",IF(D252&lt;0.5,"10 inch min. required","")))</f>
        <v/>
      </c>
      <c r="F258" s="323"/>
      <c r="G258" s="323"/>
      <c r="H258" s="324"/>
    </row>
    <row r="259" spans="1:8" x14ac:dyDescent="0.25">
      <c r="A259" s="242" t="s">
        <v>301</v>
      </c>
      <c r="B259" s="243"/>
      <c r="C259" s="244"/>
      <c r="D259" s="59"/>
      <c r="E259" s="322" t="str">
        <f>IF(D259&gt;30,"Does not meet design criteria","")</f>
        <v/>
      </c>
      <c r="F259" s="323"/>
      <c r="G259" s="323"/>
      <c r="H259" s="324"/>
    </row>
    <row r="260" spans="1:8" ht="13" x14ac:dyDescent="0.25">
      <c r="A260" s="236" t="s">
        <v>232</v>
      </c>
      <c r="B260" s="237"/>
      <c r="C260" s="237"/>
      <c r="D260" s="237"/>
      <c r="E260" s="237"/>
      <c r="F260" s="237"/>
      <c r="G260" s="237"/>
      <c r="H260" s="238"/>
    </row>
    <row r="261" spans="1:8" ht="13" x14ac:dyDescent="0.25">
      <c r="A261" s="35"/>
      <c r="B261" s="36"/>
      <c r="C261" s="36"/>
      <c r="D261" s="37"/>
      <c r="E261" s="302" t="s">
        <v>256</v>
      </c>
      <c r="F261" s="302"/>
      <c r="G261" s="38" t="s">
        <v>257</v>
      </c>
      <c r="H261" s="38" t="s">
        <v>258</v>
      </c>
    </row>
    <row r="262" spans="1:8" x14ac:dyDescent="0.25">
      <c r="A262" s="289" t="s">
        <v>302</v>
      </c>
      <c r="B262" s="289"/>
      <c r="C262" s="289"/>
      <c r="D262" s="198" t="s">
        <v>303</v>
      </c>
      <c r="E262" s="334" t="str">
        <f>F247</f>
        <v/>
      </c>
      <c r="F262" s="334"/>
      <c r="G262" s="193" t="s">
        <v>2</v>
      </c>
      <c r="H262" s="219"/>
    </row>
    <row r="263" spans="1:8" ht="25" x14ac:dyDescent="0.25">
      <c r="A263" s="289" t="s">
        <v>304</v>
      </c>
      <c r="B263" s="289"/>
      <c r="C263" s="289"/>
      <c r="D263" s="198" t="s">
        <v>305</v>
      </c>
      <c r="E263" s="330"/>
      <c r="F263" s="330"/>
      <c r="G263" s="193" t="s">
        <v>271</v>
      </c>
      <c r="H263" s="219" t="str">
        <f>IF(E263&lt;3,"Does not meet design criteria","")</f>
        <v>Does not meet design criteria</v>
      </c>
    </row>
    <row r="264" spans="1:8" x14ac:dyDescent="0.25">
      <c r="A264" s="266" t="s">
        <v>306</v>
      </c>
      <c r="B264" s="267"/>
      <c r="C264" s="268"/>
      <c r="D264" s="198" t="s">
        <v>307</v>
      </c>
      <c r="E264" s="289">
        <v>1</v>
      </c>
      <c r="F264" s="289"/>
      <c r="G264" s="193" t="s">
        <v>308</v>
      </c>
      <c r="H264" s="219" t="str">
        <f>IF(E264&gt;1,"Sizing as Filter","")</f>
        <v/>
      </c>
    </row>
    <row r="265" spans="1:8" x14ac:dyDescent="0.25">
      <c r="A265" s="289" t="s">
        <v>309</v>
      </c>
      <c r="B265" s="289"/>
      <c r="C265" s="289"/>
      <c r="D265" s="198" t="s">
        <v>310</v>
      </c>
      <c r="E265" s="330"/>
      <c r="F265" s="330"/>
      <c r="G265" s="193" t="s">
        <v>271</v>
      </c>
      <c r="H265" s="219" t="str">
        <f>IF(E265&gt;0.5,"Does not meet sizing criteria","")</f>
        <v/>
      </c>
    </row>
    <row r="266" spans="1:8" x14ac:dyDescent="0.25">
      <c r="A266" s="289" t="s">
        <v>311</v>
      </c>
      <c r="B266" s="289"/>
      <c r="C266" s="289"/>
      <c r="D266" s="198" t="s">
        <v>312</v>
      </c>
      <c r="E266" s="289">
        <v>2</v>
      </c>
      <c r="F266" s="289"/>
      <c r="G266" s="193" t="s">
        <v>313</v>
      </c>
      <c r="H266" s="219"/>
    </row>
    <row r="267" spans="1:8" x14ac:dyDescent="0.25">
      <c r="A267" s="266" t="s">
        <v>314</v>
      </c>
      <c r="B267" s="267"/>
      <c r="C267" s="268"/>
      <c r="D267" s="198" t="s">
        <v>315</v>
      </c>
      <c r="E267" s="308" t="e">
        <f>ROUND((E262*E263)/(E264*(E265+E263)*E266),0)</f>
        <v>#VALUE!</v>
      </c>
      <c r="F267" s="308"/>
      <c r="G267" s="193" t="s">
        <v>316</v>
      </c>
      <c r="H267" s="219"/>
    </row>
    <row r="268" spans="1:8" x14ac:dyDescent="0.25">
      <c r="A268" s="266" t="s">
        <v>317</v>
      </c>
      <c r="B268" s="267"/>
      <c r="C268" s="268"/>
      <c r="D268" s="198" t="s">
        <v>315</v>
      </c>
      <c r="E268" s="308">
        <f>D256*D257*D251</f>
        <v>0</v>
      </c>
      <c r="F268" s="308"/>
      <c r="G268" s="193" t="s">
        <v>316</v>
      </c>
      <c r="H268" s="219" t="str">
        <f>IF(E268="","",IF(E268=0,"",IF(E268&lt;E267,"Does not meet sizing criteria","")))</f>
        <v/>
      </c>
    </row>
    <row r="269" spans="1:8" ht="13" x14ac:dyDescent="0.25">
      <c r="A269" s="236" t="s">
        <v>276</v>
      </c>
      <c r="B269" s="237"/>
      <c r="C269" s="237"/>
      <c r="D269" s="237"/>
      <c r="E269" s="237"/>
      <c r="F269" s="237"/>
      <c r="G269" s="237"/>
      <c r="H269" s="238"/>
    </row>
    <row r="270" spans="1:8" ht="13" x14ac:dyDescent="0.25">
      <c r="A270" s="335" t="s">
        <v>241</v>
      </c>
      <c r="B270" s="335"/>
      <c r="C270" s="9" t="str">
        <f>IF(F247="","",IF(D249="YES",0,IF(D250&gt;10,0,IF(AND(D253&lt;2,D251&gt;1),0,IF(AND(D254&lt;2,D251&gt;1),0,IF(D255&lt;3,0,IF(D256&lt;5,0,IF(D257&lt;5,0,IF(D258&lt;6,0,IF(D259&gt;30,0,IF(E263&lt;3,0,IF(E265&gt;0.5,0,IF(E268&lt;E267,0,IF(D252&lt;0.5,F247*0.4,F247*1))))))))))))))</f>
        <v/>
      </c>
      <c r="D270" s="310" t="s">
        <v>2</v>
      </c>
      <c r="E270" s="311"/>
      <c r="F270" s="311"/>
      <c r="G270" s="311"/>
      <c r="H270" s="312"/>
    </row>
  </sheetData>
  <sheetProtection algorithmName="SHA-512" hashValue="mG+cjtY38NbwnM4uQ19o3q0bpUl48Mk5chq/5YobmEsplQ/gCkuaO0iTlOicDmE8BPZIhDxWH+KunekBZ0wMng==" saltValue="Kz6Uq0g5VJP9xxMMhxGhYw==" spinCount="100000" sheet="1" formatColumns="0" formatRows="0"/>
  <mergeCells count="433">
    <mergeCell ref="A269:H269"/>
    <mergeCell ref="A270:B270"/>
    <mergeCell ref="D270:H270"/>
    <mergeCell ref="A264:C264"/>
    <mergeCell ref="E264:F264"/>
    <mergeCell ref="A265:C265"/>
    <mergeCell ref="E265:F265"/>
    <mergeCell ref="A266:C266"/>
    <mergeCell ref="E266:F266"/>
    <mergeCell ref="A267:C267"/>
    <mergeCell ref="E267:F267"/>
    <mergeCell ref="A268:C268"/>
    <mergeCell ref="E268:F268"/>
    <mergeCell ref="A258:C258"/>
    <mergeCell ref="E258:H258"/>
    <mergeCell ref="A259:C259"/>
    <mergeCell ref="E259:H259"/>
    <mergeCell ref="A260:H260"/>
    <mergeCell ref="E261:F261"/>
    <mergeCell ref="A262:C262"/>
    <mergeCell ref="E262:F262"/>
    <mergeCell ref="A263:C263"/>
    <mergeCell ref="E263:F263"/>
    <mergeCell ref="A253:C253"/>
    <mergeCell ref="E253:H253"/>
    <mergeCell ref="A254:C254"/>
    <mergeCell ref="E254:H254"/>
    <mergeCell ref="A255:C255"/>
    <mergeCell ref="E255:H255"/>
    <mergeCell ref="A256:C256"/>
    <mergeCell ref="E256:H256"/>
    <mergeCell ref="A257:C257"/>
    <mergeCell ref="E257:H257"/>
    <mergeCell ref="A245:H245"/>
    <mergeCell ref="A248:H248"/>
    <mergeCell ref="A249:C249"/>
    <mergeCell ref="E249:H249"/>
    <mergeCell ref="A250:C250"/>
    <mergeCell ref="E250:H250"/>
    <mergeCell ref="A251:C251"/>
    <mergeCell ref="E251:H251"/>
    <mergeCell ref="A252:C252"/>
    <mergeCell ref="E252:H252"/>
    <mergeCell ref="A239:C239"/>
    <mergeCell ref="E239:F239"/>
    <mergeCell ref="A240:C240"/>
    <mergeCell ref="E240:F240"/>
    <mergeCell ref="A241:C241"/>
    <mergeCell ref="E241:F241"/>
    <mergeCell ref="A242:H242"/>
    <mergeCell ref="A243:B243"/>
    <mergeCell ref="D243:H243"/>
    <mergeCell ref="E234:F234"/>
    <mergeCell ref="A235:C235"/>
    <mergeCell ref="E235:F235"/>
    <mergeCell ref="A236:C236"/>
    <mergeCell ref="E236:F236"/>
    <mergeCell ref="A237:C237"/>
    <mergeCell ref="E237:F237"/>
    <mergeCell ref="A238:C238"/>
    <mergeCell ref="E238:F238"/>
    <mergeCell ref="A229:C229"/>
    <mergeCell ref="E229:H229"/>
    <mergeCell ref="A230:C230"/>
    <mergeCell ref="E230:H230"/>
    <mergeCell ref="A231:C231"/>
    <mergeCell ref="E231:H231"/>
    <mergeCell ref="A232:C232"/>
    <mergeCell ref="E232:H232"/>
    <mergeCell ref="A233:H233"/>
    <mergeCell ref="A224:C224"/>
    <mergeCell ref="E224:H224"/>
    <mergeCell ref="A225:C225"/>
    <mergeCell ref="E225:H225"/>
    <mergeCell ref="A226:C226"/>
    <mergeCell ref="E226:H226"/>
    <mergeCell ref="A227:C227"/>
    <mergeCell ref="E227:H227"/>
    <mergeCell ref="A228:C228"/>
    <mergeCell ref="E228:H228"/>
    <mergeCell ref="A215:H215"/>
    <mergeCell ref="A216:B216"/>
    <mergeCell ref="D216:H216"/>
    <mergeCell ref="A218:H218"/>
    <mergeCell ref="A221:H221"/>
    <mergeCell ref="A222:C222"/>
    <mergeCell ref="E222:H222"/>
    <mergeCell ref="A223:C223"/>
    <mergeCell ref="E223:H223"/>
    <mergeCell ref="A210:C210"/>
    <mergeCell ref="E210:F210"/>
    <mergeCell ref="A211:C211"/>
    <mergeCell ref="E211:F211"/>
    <mergeCell ref="A212:C212"/>
    <mergeCell ref="E212:F212"/>
    <mergeCell ref="A213:C213"/>
    <mergeCell ref="E213:F213"/>
    <mergeCell ref="A214:C214"/>
    <mergeCell ref="E214:F214"/>
    <mergeCell ref="A204:C204"/>
    <mergeCell ref="E204:H204"/>
    <mergeCell ref="A205:C205"/>
    <mergeCell ref="E205:H205"/>
    <mergeCell ref="A206:H206"/>
    <mergeCell ref="E207:F207"/>
    <mergeCell ref="A208:C208"/>
    <mergeCell ref="E208:F208"/>
    <mergeCell ref="A209:C209"/>
    <mergeCell ref="E209:F209"/>
    <mergeCell ref="A199:C199"/>
    <mergeCell ref="E199:H199"/>
    <mergeCell ref="A200:C200"/>
    <mergeCell ref="E200:H200"/>
    <mergeCell ref="A201:C201"/>
    <mergeCell ref="E201:H201"/>
    <mergeCell ref="A202:C202"/>
    <mergeCell ref="E202:H202"/>
    <mergeCell ref="A203:C203"/>
    <mergeCell ref="E203:H203"/>
    <mergeCell ref="A191:H191"/>
    <mergeCell ref="A194:H194"/>
    <mergeCell ref="A195:C195"/>
    <mergeCell ref="E195:H195"/>
    <mergeCell ref="A196:C196"/>
    <mergeCell ref="E196:H196"/>
    <mergeCell ref="A197:C197"/>
    <mergeCell ref="E197:H197"/>
    <mergeCell ref="A198:C198"/>
    <mergeCell ref="E198:H198"/>
    <mergeCell ref="A185:C185"/>
    <mergeCell ref="E185:F185"/>
    <mergeCell ref="A186:C186"/>
    <mergeCell ref="E186:F186"/>
    <mergeCell ref="A187:C187"/>
    <mergeCell ref="E187:F187"/>
    <mergeCell ref="A188:H188"/>
    <mergeCell ref="A189:B189"/>
    <mergeCell ref="D189:H189"/>
    <mergeCell ref="E180:F180"/>
    <mergeCell ref="A181:C181"/>
    <mergeCell ref="E181:F181"/>
    <mergeCell ref="A182:C182"/>
    <mergeCell ref="E182:F182"/>
    <mergeCell ref="A183:C183"/>
    <mergeCell ref="E183:F183"/>
    <mergeCell ref="A184:C184"/>
    <mergeCell ref="E184:F184"/>
    <mergeCell ref="A175:C175"/>
    <mergeCell ref="E175:H175"/>
    <mergeCell ref="A176:C176"/>
    <mergeCell ref="E176:H176"/>
    <mergeCell ref="A177:C177"/>
    <mergeCell ref="E177:H177"/>
    <mergeCell ref="A178:C178"/>
    <mergeCell ref="E178:H178"/>
    <mergeCell ref="A179:H179"/>
    <mergeCell ref="A170:C170"/>
    <mergeCell ref="E170:H170"/>
    <mergeCell ref="A171:C171"/>
    <mergeCell ref="E171:H171"/>
    <mergeCell ref="A172:C172"/>
    <mergeCell ref="E172:H172"/>
    <mergeCell ref="A173:C173"/>
    <mergeCell ref="E173:H173"/>
    <mergeCell ref="A174:C174"/>
    <mergeCell ref="E174:H174"/>
    <mergeCell ref="A161:H161"/>
    <mergeCell ref="A162:B162"/>
    <mergeCell ref="D162:H162"/>
    <mergeCell ref="A164:H164"/>
    <mergeCell ref="A167:H167"/>
    <mergeCell ref="A168:C168"/>
    <mergeCell ref="E168:H168"/>
    <mergeCell ref="A169:C169"/>
    <mergeCell ref="E169:H169"/>
    <mergeCell ref="A156:C156"/>
    <mergeCell ref="E156:F156"/>
    <mergeCell ref="A157:C157"/>
    <mergeCell ref="E157:F157"/>
    <mergeCell ref="A158:C158"/>
    <mergeCell ref="E158:F158"/>
    <mergeCell ref="A159:C159"/>
    <mergeCell ref="E159:F159"/>
    <mergeCell ref="A160:C160"/>
    <mergeCell ref="E160:F160"/>
    <mergeCell ref="A150:C150"/>
    <mergeCell ref="E150:H150"/>
    <mergeCell ref="A151:C151"/>
    <mergeCell ref="E151:H151"/>
    <mergeCell ref="A152:H152"/>
    <mergeCell ref="E153:F153"/>
    <mergeCell ref="A154:C154"/>
    <mergeCell ref="E154:F154"/>
    <mergeCell ref="A155:C155"/>
    <mergeCell ref="E155:F155"/>
    <mergeCell ref="A145:C145"/>
    <mergeCell ref="E145:H145"/>
    <mergeCell ref="A146:C146"/>
    <mergeCell ref="E146:H146"/>
    <mergeCell ref="A147:C147"/>
    <mergeCell ref="E147:H147"/>
    <mergeCell ref="A148:C148"/>
    <mergeCell ref="E148:H148"/>
    <mergeCell ref="A149:C149"/>
    <mergeCell ref="E149:H149"/>
    <mergeCell ref="A137:H137"/>
    <mergeCell ref="A140:H140"/>
    <mergeCell ref="A141:C141"/>
    <mergeCell ref="E141:H141"/>
    <mergeCell ref="A142:C142"/>
    <mergeCell ref="E142:H142"/>
    <mergeCell ref="A143:C143"/>
    <mergeCell ref="E143:H143"/>
    <mergeCell ref="A144:C144"/>
    <mergeCell ref="E144:H144"/>
    <mergeCell ref="A35:C35"/>
    <mergeCell ref="E35:H35"/>
    <mergeCell ref="A62:C62"/>
    <mergeCell ref="E62:H62"/>
    <mergeCell ref="A94:C94"/>
    <mergeCell ref="E94:H94"/>
    <mergeCell ref="A93:C93"/>
    <mergeCell ref="E93:H93"/>
    <mergeCell ref="A92:C92"/>
    <mergeCell ref="E92:H92"/>
    <mergeCell ref="A90:C90"/>
    <mergeCell ref="E90:H90"/>
    <mergeCell ref="A89:C89"/>
    <mergeCell ref="E89:H89"/>
    <mergeCell ref="A88:C88"/>
    <mergeCell ref="E88:H88"/>
    <mergeCell ref="A87:C87"/>
    <mergeCell ref="E87:H87"/>
    <mergeCell ref="A80:H80"/>
    <mergeCell ref="A81:B81"/>
    <mergeCell ref="D81:H81"/>
    <mergeCell ref="A83:H83"/>
    <mergeCell ref="A86:H86"/>
    <mergeCell ref="A73:C73"/>
    <mergeCell ref="A95:C95"/>
    <mergeCell ref="E95:H95"/>
    <mergeCell ref="A96:C96"/>
    <mergeCell ref="E96:H96"/>
    <mergeCell ref="A91:C91"/>
    <mergeCell ref="E91:H91"/>
    <mergeCell ref="E43:H43"/>
    <mergeCell ref="A44:H44"/>
    <mergeCell ref="A52:C52"/>
    <mergeCell ref="E52:F52"/>
    <mergeCell ref="A53:H53"/>
    <mergeCell ref="A54:B54"/>
    <mergeCell ref="D54:H54"/>
    <mergeCell ref="E66:H66"/>
    <mergeCell ref="A66:C66"/>
    <mergeCell ref="E77:F77"/>
    <mergeCell ref="A77:C77"/>
    <mergeCell ref="E70:H70"/>
    <mergeCell ref="A70:C70"/>
    <mergeCell ref="E69:H69"/>
    <mergeCell ref="A69:C69"/>
    <mergeCell ref="E75:F75"/>
    <mergeCell ref="A75:C75"/>
    <mergeCell ref="E73:F73"/>
    <mergeCell ref="I2:J2"/>
    <mergeCell ref="I3:J3"/>
    <mergeCell ref="I4:J4"/>
    <mergeCell ref="A133:C133"/>
    <mergeCell ref="E133:F133"/>
    <mergeCell ref="A134:H134"/>
    <mergeCell ref="A135:B135"/>
    <mergeCell ref="D135:H135"/>
    <mergeCell ref="A131:C131"/>
    <mergeCell ref="E131:F131"/>
    <mergeCell ref="A132:C132"/>
    <mergeCell ref="E132:F132"/>
    <mergeCell ref="A128:C128"/>
    <mergeCell ref="E128:F128"/>
    <mergeCell ref="A129:C129"/>
    <mergeCell ref="E129:F129"/>
    <mergeCell ref="A130:C130"/>
    <mergeCell ref="E130:F130"/>
    <mergeCell ref="A124:C124"/>
    <mergeCell ref="E124:H124"/>
    <mergeCell ref="A125:H125"/>
    <mergeCell ref="E126:F126"/>
    <mergeCell ref="A127:C127"/>
    <mergeCell ref="E127:F127"/>
    <mergeCell ref="A121:C121"/>
    <mergeCell ref="E121:H121"/>
    <mergeCell ref="A122:C122"/>
    <mergeCell ref="E122:H122"/>
    <mergeCell ref="A123:C123"/>
    <mergeCell ref="E123:H123"/>
    <mergeCell ref="A118:C118"/>
    <mergeCell ref="E118:H118"/>
    <mergeCell ref="A119:C119"/>
    <mergeCell ref="E119:H119"/>
    <mergeCell ref="A120:C120"/>
    <mergeCell ref="E120:H120"/>
    <mergeCell ref="A114:C114"/>
    <mergeCell ref="E114:H114"/>
    <mergeCell ref="A115:C115"/>
    <mergeCell ref="E115:H115"/>
    <mergeCell ref="A117:C117"/>
    <mergeCell ref="E117:H117"/>
    <mergeCell ref="A107:H107"/>
    <mergeCell ref="A108:B108"/>
    <mergeCell ref="D108:H108"/>
    <mergeCell ref="A110:H110"/>
    <mergeCell ref="A113:H113"/>
    <mergeCell ref="A116:C116"/>
    <mergeCell ref="E116:H116"/>
    <mergeCell ref="A105:C105"/>
    <mergeCell ref="E105:F105"/>
    <mergeCell ref="A106:C106"/>
    <mergeCell ref="E106:F106"/>
    <mergeCell ref="A102:C102"/>
    <mergeCell ref="E102:F102"/>
    <mergeCell ref="A103:C103"/>
    <mergeCell ref="E103:F103"/>
    <mergeCell ref="A104:C104"/>
    <mergeCell ref="E104:F104"/>
    <mergeCell ref="A98:H98"/>
    <mergeCell ref="E99:F99"/>
    <mergeCell ref="A100:C100"/>
    <mergeCell ref="E100:F100"/>
    <mergeCell ref="A101:C101"/>
    <mergeCell ref="E101:F101"/>
    <mergeCell ref="A97:C97"/>
    <mergeCell ref="E97:H97"/>
    <mergeCell ref="A56:H56"/>
    <mergeCell ref="E61:H61"/>
    <mergeCell ref="A61:C61"/>
    <mergeCell ref="E60:H60"/>
    <mergeCell ref="A60:C60"/>
    <mergeCell ref="A59:H59"/>
    <mergeCell ref="E65:H65"/>
    <mergeCell ref="A65:C65"/>
    <mergeCell ref="E64:H64"/>
    <mergeCell ref="A64:C64"/>
    <mergeCell ref="E63:H63"/>
    <mergeCell ref="A63:C63"/>
    <mergeCell ref="E68:H68"/>
    <mergeCell ref="A68:C68"/>
    <mergeCell ref="E67:H67"/>
    <mergeCell ref="A67:C67"/>
    <mergeCell ref="E74:F74"/>
    <mergeCell ref="A74:C74"/>
    <mergeCell ref="E72:F72"/>
    <mergeCell ref="A71:H71"/>
    <mergeCell ref="E79:F79"/>
    <mergeCell ref="A79:C79"/>
    <mergeCell ref="E78:F78"/>
    <mergeCell ref="A78:C78"/>
    <mergeCell ref="E76:F76"/>
    <mergeCell ref="A76:C76"/>
    <mergeCell ref="E45:F45"/>
    <mergeCell ref="A46:C46"/>
    <mergeCell ref="E46:F46"/>
    <mergeCell ref="A47:C47"/>
    <mergeCell ref="E47:F47"/>
    <mergeCell ref="A42:C42"/>
    <mergeCell ref="E42:H42"/>
    <mergeCell ref="A43:C43"/>
    <mergeCell ref="A51:C51"/>
    <mergeCell ref="E51:F51"/>
    <mergeCell ref="A48:C48"/>
    <mergeCell ref="E48:F48"/>
    <mergeCell ref="A49:C49"/>
    <mergeCell ref="E49:F49"/>
    <mergeCell ref="A50:C50"/>
    <mergeCell ref="E50:F50"/>
    <mergeCell ref="A39:C39"/>
    <mergeCell ref="E39:H39"/>
    <mergeCell ref="A40:C40"/>
    <mergeCell ref="E40:H40"/>
    <mergeCell ref="A41:C41"/>
    <mergeCell ref="E41:H41"/>
    <mergeCell ref="A36:C36"/>
    <mergeCell ref="E36:H36"/>
    <mergeCell ref="A37:C37"/>
    <mergeCell ref="E37:H37"/>
    <mergeCell ref="A38:C38"/>
    <mergeCell ref="E38:H38"/>
    <mergeCell ref="A29:H29"/>
    <mergeCell ref="A32:H32"/>
    <mergeCell ref="A33:C33"/>
    <mergeCell ref="E33:H33"/>
    <mergeCell ref="A34:C34"/>
    <mergeCell ref="E34:H34"/>
    <mergeCell ref="A2:H2"/>
    <mergeCell ref="A17:H17"/>
    <mergeCell ref="E18:F18"/>
    <mergeCell ref="A19:C19"/>
    <mergeCell ref="E19:F19"/>
    <mergeCell ref="A9:C9"/>
    <mergeCell ref="E9:H9"/>
    <mergeCell ref="A15:C15"/>
    <mergeCell ref="E15:H15"/>
    <mergeCell ref="A12:C12"/>
    <mergeCell ref="E12:H12"/>
    <mergeCell ref="A13:C13"/>
    <mergeCell ref="E13:H13"/>
    <mergeCell ref="A26:H26"/>
    <mergeCell ref="A27:B27"/>
    <mergeCell ref="E21:F21"/>
    <mergeCell ref="A22:C22"/>
    <mergeCell ref="E22:F22"/>
    <mergeCell ref="E23:F23"/>
    <mergeCell ref="A25:C25"/>
    <mergeCell ref="E25:F25"/>
    <mergeCell ref="A24:C24"/>
    <mergeCell ref="E24:F24"/>
    <mergeCell ref="D27:H27"/>
    <mergeCell ref="A23:C23"/>
    <mergeCell ref="A20:C20"/>
    <mergeCell ref="E20:F20"/>
    <mergeCell ref="A21:C21"/>
    <mergeCell ref="A14:C14"/>
    <mergeCell ref="E14:H14"/>
    <mergeCell ref="A16:C16"/>
    <mergeCell ref="E16:H16"/>
    <mergeCell ref="A5:H5"/>
    <mergeCell ref="A6:C6"/>
    <mergeCell ref="E6:H6"/>
    <mergeCell ref="A7:C7"/>
    <mergeCell ref="E7:H7"/>
    <mergeCell ref="A10:C10"/>
    <mergeCell ref="A11:C11"/>
    <mergeCell ref="E10:H10"/>
    <mergeCell ref="E11:H11"/>
    <mergeCell ref="A8:C8"/>
    <mergeCell ref="E8:H8"/>
  </mergeCells>
  <dataValidations count="4">
    <dataValidation type="list" showInputMessage="1" showErrorMessage="1" promptTitle="Choose Area" sqref="A4 A85 A31 A58 A112 A139 A166 A193 A220 A247" xr:uid="{EE25079F-780E-411A-B627-FAEBFE03A300}">
      <formula1>CatchNo</formula1>
    </dataValidation>
    <dataValidation type="list" showInputMessage="1" showErrorMessage="1" promptTitle="Yes or No?" sqref="D6 D87 D33 D60 D114 D141 D168 D195 D222 D249" xr:uid="{8E8049A1-E5F5-4CD7-8BDE-654B5AFE3154}">
      <formula1>YesNo</formula1>
    </dataValidation>
    <dataValidation type="decimal" operator="greaterThan" allowBlank="1" showInputMessage="1" showErrorMessage="1" sqref="D88 D90:D97 E101:F101 E103:F103 E22:F22 D9:D16 E20:F20 D7 D34 D36:D43 E47:F47 E49:F49 E76:F76 E74:F74 D61 D63:D70 D117:D124 E128:F128 D115 E130:F130 D144:D151 E155:F155 D142 E157:F157 D171:D178 E182:F182 D169 E184:F184 D198:D205 E209:F209 D196 E211:F211 D225:D232 E236:F236 D223 E238:F238 D252:D259 E263:F263 D250 E265:F265" xr:uid="{D313793C-01A8-41C3-A8D8-936A23E59983}">
      <formula1>0</formula1>
    </dataValidation>
    <dataValidation type="whole" operator="greaterThan" allowBlank="1" showInputMessage="1" showErrorMessage="1" sqref="D89 D8 D35 D62 D116 D143 D170 D197 D224 D251" xr:uid="{B624F7A7-8F41-446C-B414-D7E6F3279B61}">
      <formula1>0</formula1>
    </dataValidation>
  </dataValidations>
  <pageMargins left="0.5" right="0.5" top="0.75" bottom="0.5" header="0.3" footer="0.3"/>
  <pageSetup paperSize="278" orientation="portrait" r:id="rId1"/>
  <headerFooter>
    <oddHeader>&amp;C&amp;"Arial,Regular"&amp;18Tree Pit (RR-3)</oddHeader>
  </headerFooter>
  <rowBreaks count="10" manualBreakCount="10">
    <brk id="27" max="16383" man="1"/>
    <brk id="54" max="16383" man="1"/>
    <brk id="81" max="16383" man="1"/>
    <brk id="108" max="16383" man="1"/>
    <brk id="135" max="16383" man="1"/>
    <brk id="162" max="16383" man="1"/>
    <brk id="189" max="16383" man="1"/>
    <brk id="216" max="16383" man="1"/>
    <brk id="243" max="16383" man="1"/>
    <brk id="27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5C573-0C93-42F3-AEB1-EF1150A23437}">
  <dimension ref="A1:P240"/>
  <sheetViews>
    <sheetView view="pageLayout" topLeftCell="A6" zoomScaleNormal="100" workbookViewId="0">
      <selection activeCell="C24" sqref="C24"/>
    </sheetView>
  </sheetViews>
  <sheetFormatPr defaultColWidth="9.1796875" defaultRowHeight="12.5" x14ac:dyDescent="0.25"/>
  <cols>
    <col min="1" max="2" width="12.7265625" style="4" customWidth="1"/>
    <col min="3" max="3" width="11.453125" style="4" customWidth="1"/>
    <col min="4" max="4" width="10.54296875" style="4" customWidth="1"/>
    <col min="5" max="5" width="6.453125" style="4" customWidth="1"/>
    <col min="6" max="6" width="8.54296875" style="4" customWidth="1"/>
    <col min="7" max="7" width="12.26953125" style="4" customWidth="1"/>
    <col min="8" max="8" width="15.26953125" style="4" customWidth="1"/>
    <col min="9" max="9" width="14" style="4" customWidth="1"/>
    <col min="10" max="13" width="9.1796875" style="4" hidden="1" customWidth="1"/>
    <col min="14" max="14" width="12.1796875" style="4" bestFit="1" customWidth="1"/>
    <col min="15" max="16384" width="9.1796875" style="4"/>
  </cols>
  <sheetData>
    <row r="1" spans="1:16" s="34" customFormat="1" ht="15" customHeight="1" x14ac:dyDescent="0.3">
      <c r="A1" s="24" t="s">
        <v>56</v>
      </c>
      <c r="B1" s="23" t="str">
        <f>IF('STEP 2-WQv Calculation'!$B$4="","",'STEP 2-WQv Calculation'!$B$4)</f>
        <v/>
      </c>
      <c r="C1" s="31"/>
      <c r="D1" s="31"/>
      <c r="E1" s="32"/>
      <c r="F1" s="33"/>
      <c r="G1" s="33"/>
      <c r="H1" s="33"/>
    </row>
    <row r="2" spans="1:16" ht="15" customHeight="1" x14ac:dyDescent="0.25">
      <c r="A2" s="331" t="s">
        <v>293</v>
      </c>
      <c r="B2" s="332"/>
      <c r="C2" s="332"/>
      <c r="D2" s="332"/>
      <c r="E2" s="332"/>
      <c r="F2" s="332"/>
      <c r="G2" s="332"/>
      <c r="H2" s="333"/>
      <c r="I2" s="255" t="s">
        <v>219</v>
      </c>
      <c r="J2" s="256"/>
      <c r="K2" s="49">
        <f>SUM(B4,B34,B64,B93,B123)</f>
        <v>0</v>
      </c>
      <c r="L2" s="12" t="s">
        <v>223</v>
      </c>
      <c r="N2" s="49">
        <f>SUM(B4,B28,B52,B76,B100,B124,B148,B172,B196,B220)</f>
        <v>0</v>
      </c>
      <c r="O2" s="12" t="s">
        <v>223</v>
      </c>
    </row>
    <row r="3" spans="1:16" s="34" customFormat="1" ht="46.75" customHeight="1" x14ac:dyDescent="0.3">
      <c r="A3" s="204" t="s">
        <v>60</v>
      </c>
      <c r="B3" s="205" t="s">
        <v>61</v>
      </c>
      <c r="C3" s="205" t="s">
        <v>62</v>
      </c>
      <c r="D3" s="205" t="s">
        <v>63</v>
      </c>
      <c r="E3" s="205" t="s">
        <v>64</v>
      </c>
      <c r="F3" s="205" t="s">
        <v>65</v>
      </c>
      <c r="G3" s="205" t="s">
        <v>244</v>
      </c>
      <c r="H3" s="206" t="s">
        <v>13</v>
      </c>
      <c r="I3" s="255" t="s">
        <v>245</v>
      </c>
      <c r="J3" s="256"/>
      <c r="K3" s="28">
        <f>SUM(C4,C34,C64,C93,C123)</f>
        <v>0</v>
      </c>
      <c r="L3" s="12" t="s">
        <v>223</v>
      </c>
      <c r="M3" s="4"/>
      <c r="N3" s="21">
        <f>SUM(C4,C28,C52,C76,C100,C124,C148,C172,C196,C220)</f>
        <v>0</v>
      </c>
      <c r="O3" s="12" t="s">
        <v>223</v>
      </c>
      <c r="P3" s="4"/>
    </row>
    <row r="4" spans="1:16" ht="30.2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8">
        <f>SUM(C30,C60,C90,C119,C150)</f>
        <v>0</v>
      </c>
      <c r="L4" s="12" t="s">
        <v>223</v>
      </c>
      <c r="N4" s="28">
        <f>SUM(C24,C48,C72,C96,C120,C144,C168,C192,C216,C240)</f>
        <v>0</v>
      </c>
      <c r="O4" s="12" t="s">
        <v>2</v>
      </c>
    </row>
    <row r="5" spans="1:16" s="1" customFormat="1" ht="15" customHeight="1" x14ac:dyDescent="0.35">
      <c r="A5" s="273" t="s">
        <v>226</v>
      </c>
      <c r="B5" s="273"/>
      <c r="C5" s="273"/>
      <c r="D5" s="273"/>
      <c r="E5" s="273"/>
      <c r="F5" s="273"/>
      <c r="G5" s="273"/>
      <c r="H5" s="273"/>
      <c r="I5" s="4"/>
    </row>
    <row r="6" spans="1:16" s="1" customFormat="1" ht="26.5" customHeight="1" x14ac:dyDescent="0.35">
      <c r="A6" s="245" t="s">
        <v>247</v>
      </c>
      <c r="B6" s="245"/>
      <c r="C6" s="245"/>
      <c r="D6" s="211"/>
      <c r="E6" s="322" t="str">
        <f>IF(D6="","This practice cannot be used for hotspot treatment",IF(D6="Yes","Does not meet design criteria",""))</f>
        <v>This practice cannot be used for hotspot treatment</v>
      </c>
      <c r="F6" s="323"/>
      <c r="G6" s="323"/>
      <c r="H6" s="324"/>
      <c r="I6" s="4"/>
    </row>
    <row r="7" spans="1:16" s="1" customFormat="1" ht="15.65" customHeight="1" x14ac:dyDescent="0.35">
      <c r="A7" s="242" t="s">
        <v>279</v>
      </c>
      <c r="B7" s="243"/>
      <c r="C7" s="244"/>
      <c r="D7" s="215"/>
      <c r="E7" s="322" t="str">
        <f>IF(D7&gt;10,"Does not meet design criteria","")</f>
        <v/>
      </c>
      <c r="F7" s="323"/>
      <c r="G7" s="323"/>
      <c r="H7" s="324"/>
      <c r="I7" s="4"/>
    </row>
    <row r="8" spans="1:16" s="1" customFormat="1" ht="29.5" customHeight="1" x14ac:dyDescent="0.35">
      <c r="A8" s="242" t="s">
        <v>295</v>
      </c>
      <c r="B8" s="243"/>
      <c r="C8" s="244"/>
      <c r="D8" s="60"/>
      <c r="E8" s="322" t="str">
        <f>IF(D8="","",IF(D8&lt;0.5,"Does not meet design criteria",""))</f>
        <v/>
      </c>
      <c r="F8" s="323"/>
      <c r="G8" s="323"/>
      <c r="H8" s="324"/>
      <c r="I8" s="4"/>
    </row>
    <row r="9" spans="1:16" s="1" customFormat="1" ht="15" customHeight="1" x14ac:dyDescent="0.35">
      <c r="A9" s="242" t="s">
        <v>296</v>
      </c>
      <c r="B9" s="243"/>
      <c r="C9" s="244"/>
      <c r="D9" s="59"/>
      <c r="E9" s="322" t="str">
        <f>IF(D9="","",IF(D9&lt;2,"Does not meet design criteria",""))</f>
        <v/>
      </c>
      <c r="F9" s="323"/>
      <c r="G9" s="323"/>
      <c r="H9" s="324"/>
      <c r="I9" s="4"/>
    </row>
    <row r="10" spans="1:16" s="1" customFormat="1" ht="15" customHeight="1" x14ac:dyDescent="0.35">
      <c r="A10" s="242" t="s">
        <v>297</v>
      </c>
      <c r="B10" s="243"/>
      <c r="C10" s="244"/>
      <c r="D10" s="59"/>
      <c r="E10" s="322" t="str">
        <f>IF(D10="","",IF(D10&lt;2,"Does not meet design criteria",""))</f>
        <v/>
      </c>
      <c r="F10" s="323"/>
      <c r="G10" s="323"/>
      <c r="H10" s="324"/>
      <c r="I10" s="4"/>
    </row>
    <row r="11" spans="1:16" s="1" customFormat="1" ht="14.5" x14ac:dyDescent="0.35">
      <c r="A11" s="242" t="s">
        <v>285</v>
      </c>
      <c r="B11" s="243"/>
      <c r="C11" s="244"/>
      <c r="D11" s="59"/>
      <c r="E11" s="322" t="str">
        <f>IF(D11&lt;3,"Does not meet design criteria","")</f>
        <v>Does not meet design criteria</v>
      </c>
      <c r="F11" s="323"/>
      <c r="G11" s="323"/>
      <c r="H11" s="324"/>
      <c r="I11" s="4"/>
    </row>
    <row r="12" spans="1:16" s="1" customFormat="1" ht="15.65" customHeight="1" x14ac:dyDescent="0.35">
      <c r="A12" s="242" t="s">
        <v>287</v>
      </c>
      <c r="B12" s="243"/>
      <c r="C12" s="244"/>
      <c r="D12" s="59"/>
      <c r="E12" s="322" t="str">
        <f>IF(D12="","",IF(D12&lt;10,"Does not meet design criteria",""))</f>
        <v/>
      </c>
      <c r="F12" s="323"/>
      <c r="G12" s="323"/>
      <c r="H12" s="324"/>
      <c r="I12" s="4"/>
    </row>
    <row r="13" spans="1:16" s="1" customFormat="1" ht="15.65" customHeight="1" x14ac:dyDescent="0.35">
      <c r="A13" s="242" t="s">
        <v>300</v>
      </c>
      <c r="B13" s="243"/>
      <c r="C13" s="244"/>
      <c r="D13" s="59"/>
      <c r="E13" s="322" t="str">
        <f>IF(D13="","",IF(D13&lt;24,"Does not meet design criteria",""))</f>
        <v/>
      </c>
      <c r="F13" s="323"/>
      <c r="G13" s="323"/>
      <c r="H13" s="324"/>
      <c r="I13" s="4"/>
    </row>
    <row r="14" spans="1:16" ht="15" customHeight="1" x14ac:dyDescent="0.25">
      <c r="A14" s="236" t="s">
        <v>232</v>
      </c>
      <c r="B14" s="237"/>
      <c r="C14" s="237"/>
      <c r="D14" s="237"/>
      <c r="E14" s="237"/>
      <c r="F14" s="237"/>
      <c r="G14" s="237"/>
      <c r="H14" s="238"/>
    </row>
    <row r="15" spans="1:16" s="34" customFormat="1" ht="15" customHeight="1" x14ac:dyDescent="0.3">
      <c r="A15" s="35"/>
      <c r="B15" s="36"/>
      <c r="C15" s="36"/>
      <c r="D15" s="37"/>
      <c r="E15" s="302" t="s">
        <v>256</v>
      </c>
      <c r="F15" s="302"/>
      <c r="G15" s="38" t="s">
        <v>257</v>
      </c>
      <c r="H15" s="38" t="s">
        <v>258</v>
      </c>
      <c r="I15" s="4"/>
      <c r="J15" s="4"/>
      <c r="K15" s="4"/>
      <c r="L15" s="4"/>
      <c r="M15" s="4"/>
      <c r="N15" s="4"/>
      <c r="O15" s="4"/>
      <c r="P15" s="4"/>
    </row>
    <row r="16" spans="1:16" ht="15" customHeight="1" x14ac:dyDescent="0.25">
      <c r="A16" s="289" t="s">
        <v>302</v>
      </c>
      <c r="B16" s="289"/>
      <c r="C16" s="289"/>
      <c r="D16" s="198" t="s">
        <v>303</v>
      </c>
      <c r="E16" s="334" t="str">
        <f>F4</f>
        <v/>
      </c>
      <c r="F16" s="334"/>
      <c r="G16" s="193" t="s">
        <v>2</v>
      </c>
      <c r="H16" s="219"/>
    </row>
    <row r="17" spans="1:16" ht="28.5" customHeight="1" x14ac:dyDescent="0.25">
      <c r="A17" s="289" t="s">
        <v>304</v>
      </c>
      <c r="B17" s="289"/>
      <c r="C17" s="289"/>
      <c r="D17" s="198" t="s">
        <v>305</v>
      </c>
      <c r="E17" s="330"/>
      <c r="F17" s="330"/>
      <c r="G17" s="193" t="s">
        <v>271</v>
      </c>
      <c r="H17" s="219" t="str">
        <f>IF(E17&lt;3,"Does not meet design criteria","")</f>
        <v>Does not meet design criteria</v>
      </c>
    </row>
    <row r="18" spans="1:16" ht="15" customHeight="1" x14ac:dyDescent="0.25">
      <c r="A18" s="266" t="s">
        <v>306</v>
      </c>
      <c r="B18" s="267"/>
      <c r="C18" s="268"/>
      <c r="D18" s="198" t="s">
        <v>307</v>
      </c>
      <c r="E18" s="289">
        <v>1</v>
      </c>
      <c r="F18" s="289"/>
      <c r="G18" s="193" t="s">
        <v>308</v>
      </c>
      <c r="H18" s="219" t="str">
        <f>IF(E18&gt;1,"Sizing as Filter","")</f>
        <v/>
      </c>
    </row>
    <row r="19" spans="1:16" ht="12.75" customHeight="1" x14ac:dyDescent="0.25">
      <c r="A19" s="289" t="s">
        <v>309</v>
      </c>
      <c r="B19" s="289"/>
      <c r="C19" s="289"/>
      <c r="D19" s="198" t="s">
        <v>310</v>
      </c>
      <c r="E19" s="330"/>
      <c r="F19" s="330"/>
      <c r="G19" s="193" t="s">
        <v>271</v>
      </c>
      <c r="H19" s="219" t="str">
        <f>IF(E19&gt;0.5,"Does not meet sizing criteria","")</f>
        <v/>
      </c>
    </row>
    <row r="20" spans="1:16" ht="15" customHeight="1" x14ac:dyDescent="0.25">
      <c r="A20" s="289" t="s">
        <v>311</v>
      </c>
      <c r="B20" s="289"/>
      <c r="C20" s="289"/>
      <c r="D20" s="198" t="s">
        <v>312</v>
      </c>
      <c r="E20" s="289">
        <v>2</v>
      </c>
      <c r="F20" s="289"/>
      <c r="G20" s="193" t="s">
        <v>313</v>
      </c>
      <c r="H20" s="219"/>
    </row>
    <row r="21" spans="1:16" ht="15" customHeight="1" x14ac:dyDescent="0.25">
      <c r="A21" s="266" t="s">
        <v>314</v>
      </c>
      <c r="B21" s="267"/>
      <c r="C21" s="268"/>
      <c r="D21" s="198" t="s">
        <v>315</v>
      </c>
      <c r="E21" s="308" t="e">
        <f>ROUND((E16*E17)/(E18*(E17+E19)*E20),0)</f>
        <v>#VALUE!</v>
      </c>
      <c r="F21" s="308"/>
      <c r="G21" s="193" t="s">
        <v>316</v>
      </c>
      <c r="H21" s="219"/>
    </row>
    <row r="22" spans="1:16" ht="29.5" customHeight="1" x14ac:dyDescent="0.25">
      <c r="A22" s="266" t="s">
        <v>317</v>
      </c>
      <c r="B22" s="267"/>
      <c r="C22" s="268"/>
      <c r="D22" s="198" t="s">
        <v>315</v>
      </c>
      <c r="E22" s="305"/>
      <c r="F22" s="305"/>
      <c r="G22" s="193" t="s">
        <v>316</v>
      </c>
      <c r="H22" s="219" t="str">
        <f>IF(E22="","",IF(E22&lt;E21,"Does not meet sizing criteria",""))</f>
        <v/>
      </c>
    </row>
    <row r="23" spans="1:16" ht="15" customHeight="1" x14ac:dyDescent="0.25">
      <c r="A23" s="236" t="s">
        <v>276</v>
      </c>
      <c r="B23" s="237"/>
      <c r="C23" s="237"/>
      <c r="D23" s="237"/>
      <c r="E23" s="237"/>
      <c r="F23" s="237"/>
      <c r="G23" s="237"/>
      <c r="H23" s="238"/>
    </row>
    <row r="24" spans="1:16" s="34" customFormat="1" ht="30.25" customHeight="1" x14ac:dyDescent="0.3">
      <c r="A24" s="335" t="s">
        <v>241</v>
      </c>
      <c r="B24" s="335"/>
      <c r="C24" s="9" t="str">
        <f>IF(A4="","",IF(D6="YES",0,IF(D7&gt;10,0,IF(D8&lt;0.5,0,IF(D9&lt;2,0,IF(D10&lt;2,0,IF(D11&lt;3,0,IF(D12&lt;10,0,IF(D13&lt;24,0,IF(E17&lt;3,0,IF(E19&gt;0.5,0,IF(E22&lt;E21,0,F4*1))))))))))))</f>
        <v/>
      </c>
      <c r="D24" s="310" t="s">
        <v>2</v>
      </c>
      <c r="E24" s="311"/>
      <c r="F24" s="311"/>
      <c r="G24" s="311"/>
      <c r="H24" s="312"/>
      <c r="I24" s="4"/>
      <c r="J24" s="4"/>
      <c r="K24" s="4"/>
      <c r="L24" s="4"/>
      <c r="M24" s="4"/>
      <c r="N24" s="4"/>
      <c r="O24" s="4"/>
      <c r="P24" s="4"/>
    </row>
    <row r="25" spans="1:16" ht="13" x14ac:dyDescent="0.3">
      <c r="A25" s="24" t="s">
        <v>56</v>
      </c>
      <c r="B25" s="23" t="str">
        <f>IF('STEP 2-WQv Calculation'!$B$4="","",'STEP 2-WQv Calculation'!$B$4)</f>
        <v/>
      </c>
      <c r="C25" s="31"/>
      <c r="D25" s="31"/>
      <c r="E25" s="32"/>
      <c r="F25" s="33"/>
      <c r="G25" s="33"/>
      <c r="H25" s="33"/>
    </row>
    <row r="26" spans="1:16" ht="13" x14ac:dyDescent="0.25">
      <c r="A26" s="331" t="s">
        <v>293</v>
      </c>
      <c r="B26" s="332"/>
      <c r="C26" s="332"/>
      <c r="D26" s="332"/>
      <c r="E26" s="332"/>
      <c r="F26" s="332"/>
      <c r="G26" s="332"/>
      <c r="H26" s="333"/>
    </row>
    <row r="27" spans="1:16" ht="38.5" x14ac:dyDescent="0.25">
      <c r="A27" s="204" t="s">
        <v>60</v>
      </c>
      <c r="B27" s="205" t="s">
        <v>61</v>
      </c>
      <c r="C27" s="205" t="s">
        <v>62</v>
      </c>
      <c r="D27" s="205" t="s">
        <v>63</v>
      </c>
      <c r="E27" s="205" t="s">
        <v>64</v>
      </c>
      <c r="F27" s="205" t="s">
        <v>65</v>
      </c>
      <c r="G27" s="205" t="s">
        <v>244</v>
      </c>
      <c r="H27" s="206" t="s">
        <v>13</v>
      </c>
    </row>
    <row r="28" spans="1:16" x14ac:dyDescent="0.25">
      <c r="A28" s="17"/>
      <c r="B28" s="18" t="str">
        <f>IF($A28="","",(LOOKUP($A28,'STEP 2-WQv Calculation'!$A$8:$A$37,'STEP 2-WQv Calculation'!$B$8:$B$37)))</f>
        <v/>
      </c>
      <c r="C28" s="18" t="str">
        <f>IF($A28="","",(LOOKUP($A28,'STEP 2-WQv Calculation'!$A$8:$A$37,'STEP 2-WQv Calculation'!$C$8:$C$37)))</f>
        <v/>
      </c>
      <c r="D28" s="53" t="str">
        <f>IF($A28="","",(LOOKUP($A28,'STEP 2-WQv Calculation'!$A$8:$A$37,'STEP 2-WQv Calculation'!$D$8:$D$37)))</f>
        <v/>
      </c>
      <c r="E28" s="18" t="str">
        <f>IF($A28="","",(LOOKUP($A28,'STEP 2-WQv Calculation'!$A$8:$A$37,'STEP 2-WQv Calculation'!$E$8:$E$37)))</f>
        <v/>
      </c>
      <c r="F28" s="42" t="str">
        <f>IF($A28="","",(LOOKUP($A28,'STEP 2-WQv Calculation'!$A$8:$A$37,'STEP 2-WQv Calculation'!$F$8:$F$37)))</f>
        <v/>
      </c>
      <c r="G28" s="18">
        <f>'STEP 2-WQv Calculation'!B5</f>
        <v>0</v>
      </c>
      <c r="H28" s="29" t="str">
        <f>IF($A28="","",(LOOKUP($A28,'STEP 2-WQv Calculation'!$A$8:$A$37,'STEP 2-WQv Calculation'!$G$8:$G$37)))</f>
        <v/>
      </c>
    </row>
    <row r="29" spans="1:16" ht="13" x14ac:dyDescent="0.3">
      <c r="A29" s="273" t="s">
        <v>226</v>
      </c>
      <c r="B29" s="273"/>
      <c r="C29" s="273"/>
      <c r="D29" s="273"/>
      <c r="E29" s="273"/>
      <c r="F29" s="273"/>
      <c r="G29" s="273"/>
      <c r="H29" s="273"/>
    </row>
    <row r="30" spans="1:16" ht="12.75" customHeight="1" x14ac:dyDescent="0.25">
      <c r="A30" s="245" t="s">
        <v>247</v>
      </c>
      <c r="B30" s="245"/>
      <c r="C30" s="245"/>
      <c r="D30" s="211"/>
      <c r="E30" s="322" t="str">
        <f>IF(D30="","This practice cannot be used for hotspot treatment",IF(D30="Yes","Does not meet design criteria",""))</f>
        <v>This practice cannot be used for hotspot treatment</v>
      </c>
      <c r="F30" s="323"/>
      <c r="G30" s="323"/>
      <c r="H30" s="324"/>
    </row>
    <row r="31" spans="1:16" x14ac:dyDescent="0.25">
      <c r="A31" s="242" t="s">
        <v>279</v>
      </c>
      <c r="B31" s="243"/>
      <c r="C31" s="244"/>
      <c r="D31" s="215"/>
      <c r="E31" s="322" t="str">
        <f>IF(D31&gt;10,"Does not meet design criteria","")</f>
        <v/>
      </c>
      <c r="F31" s="323"/>
      <c r="G31" s="323"/>
      <c r="H31" s="324"/>
    </row>
    <row r="32" spans="1:16" ht="29.25" customHeight="1" x14ac:dyDescent="0.25">
      <c r="A32" s="242" t="s">
        <v>295</v>
      </c>
      <c r="B32" s="243"/>
      <c r="C32" s="244"/>
      <c r="D32" s="60"/>
      <c r="E32" s="322" t="str">
        <f>IF(D32="","",IF(D32&lt;0.5,"Does not meet design criteria",""))</f>
        <v/>
      </c>
      <c r="F32" s="323"/>
      <c r="G32" s="323"/>
      <c r="H32" s="324"/>
    </row>
    <row r="33" spans="1:8" x14ac:dyDescent="0.25">
      <c r="A33" s="242" t="s">
        <v>296</v>
      </c>
      <c r="B33" s="243"/>
      <c r="C33" s="244"/>
      <c r="D33" s="59"/>
      <c r="E33" s="322" t="str">
        <f>IF(D33="","",IF(D33&lt;2,"Does not meet design criteria",""))</f>
        <v/>
      </c>
      <c r="F33" s="323"/>
      <c r="G33" s="323"/>
      <c r="H33" s="324"/>
    </row>
    <row r="34" spans="1:8" x14ac:dyDescent="0.25">
      <c r="A34" s="242" t="s">
        <v>297</v>
      </c>
      <c r="B34" s="243"/>
      <c r="C34" s="244"/>
      <c r="D34" s="59"/>
      <c r="E34" s="322" t="str">
        <f>IF(D34="","",IF(D34&lt;2,"Does not meet design criteria",""))</f>
        <v/>
      </c>
      <c r="F34" s="323"/>
      <c r="G34" s="323"/>
      <c r="H34" s="324"/>
    </row>
    <row r="35" spans="1:8" x14ac:dyDescent="0.25">
      <c r="A35" s="242" t="s">
        <v>285</v>
      </c>
      <c r="B35" s="243"/>
      <c r="C35" s="244"/>
      <c r="D35" s="59"/>
      <c r="E35" s="322" t="str">
        <f>IF(D35&lt;3,"Does not meet design criteria","")</f>
        <v>Does not meet design criteria</v>
      </c>
      <c r="F35" s="323"/>
      <c r="G35" s="323"/>
      <c r="H35" s="324"/>
    </row>
    <row r="36" spans="1:8" x14ac:dyDescent="0.25">
      <c r="A36" s="242" t="s">
        <v>287</v>
      </c>
      <c r="B36" s="243"/>
      <c r="C36" s="244"/>
      <c r="D36" s="59"/>
      <c r="E36" s="322" t="str">
        <f>IF(D36="","",IF(D36&lt;10,"Does not meet design criteria",""))</f>
        <v/>
      </c>
      <c r="F36" s="323"/>
      <c r="G36" s="323"/>
      <c r="H36" s="324"/>
    </row>
    <row r="37" spans="1:8" x14ac:dyDescent="0.25">
      <c r="A37" s="242" t="s">
        <v>300</v>
      </c>
      <c r="B37" s="243"/>
      <c r="C37" s="244"/>
      <c r="D37" s="59"/>
      <c r="E37" s="322" t="str">
        <f>IF(D37="","",IF(D37&lt;24,"Does not meet design criteria",""))</f>
        <v/>
      </c>
      <c r="F37" s="323"/>
      <c r="G37" s="323"/>
      <c r="H37" s="324"/>
    </row>
    <row r="38" spans="1:8" ht="13" x14ac:dyDescent="0.25">
      <c r="A38" s="236" t="s">
        <v>232</v>
      </c>
      <c r="B38" s="237"/>
      <c r="C38" s="237"/>
      <c r="D38" s="237"/>
      <c r="E38" s="237"/>
      <c r="F38" s="237"/>
      <c r="G38" s="237"/>
      <c r="H38" s="238"/>
    </row>
    <row r="39" spans="1:8" ht="13" x14ac:dyDescent="0.25">
      <c r="A39" s="35"/>
      <c r="B39" s="36"/>
      <c r="C39" s="36"/>
      <c r="D39" s="37"/>
      <c r="E39" s="302" t="s">
        <v>256</v>
      </c>
      <c r="F39" s="302"/>
      <c r="G39" s="38" t="s">
        <v>257</v>
      </c>
      <c r="H39" s="38" t="s">
        <v>258</v>
      </c>
    </row>
    <row r="40" spans="1:8" x14ac:dyDescent="0.25">
      <c r="A40" s="289" t="s">
        <v>302</v>
      </c>
      <c r="B40" s="289"/>
      <c r="C40" s="289"/>
      <c r="D40" s="198" t="s">
        <v>303</v>
      </c>
      <c r="E40" s="334" t="str">
        <f>F28</f>
        <v/>
      </c>
      <c r="F40" s="334"/>
      <c r="G40" s="193" t="s">
        <v>2</v>
      </c>
      <c r="H40" s="219"/>
    </row>
    <row r="41" spans="1:8" ht="25" x14ac:dyDescent="0.25">
      <c r="A41" s="289" t="s">
        <v>304</v>
      </c>
      <c r="B41" s="289"/>
      <c r="C41" s="289"/>
      <c r="D41" s="198" t="s">
        <v>305</v>
      </c>
      <c r="E41" s="336"/>
      <c r="F41" s="336"/>
      <c r="G41" s="193" t="s">
        <v>271</v>
      </c>
      <c r="H41" s="219" t="str">
        <f>IF(E41&lt;3,"Does not meet design criteria","")</f>
        <v>Does not meet design criteria</v>
      </c>
    </row>
    <row r="42" spans="1:8" ht="12.75" customHeight="1" x14ac:dyDescent="0.25">
      <c r="A42" s="266" t="s">
        <v>306</v>
      </c>
      <c r="B42" s="267"/>
      <c r="C42" s="268"/>
      <c r="D42" s="198" t="s">
        <v>307</v>
      </c>
      <c r="E42" s="289">
        <v>1</v>
      </c>
      <c r="F42" s="289"/>
      <c r="G42" s="193" t="s">
        <v>308</v>
      </c>
      <c r="H42" s="219" t="str">
        <f>IF(E42&gt;1,"Sizing as Filter","")</f>
        <v/>
      </c>
    </row>
    <row r="43" spans="1:8" ht="12.75" customHeight="1" x14ac:dyDescent="0.25">
      <c r="A43" s="289" t="s">
        <v>309</v>
      </c>
      <c r="B43" s="289"/>
      <c r="C43" s="289"/>
      <c r="D43" s="198" t="s">
        <v>310</v>
      </c>
      <c r="E43" s="336"/>
      <c r="F43" s="336"/>
      <c r="G43" s="193" t="s">
        <v>271</v>
      </c>
      <c r="H43" s="219" t="str">
        <f>IF(E43&gt;0.5,"Does not meet sizing criteria","")</f>
        <v/>
      </c>
    </row>
    <row r="44" spans="1:8" x14ac:dyDescent="0.25">
      <c r="A44" s="289" t="s">
        <v>311</v>
      </c>
      <c r="B44" s="289"/>
      <c r="C44" s="289"/>
      <c r="D44" s="198" t="s">
        <v>312</v>
      </c>
      <c r="E44" s="289">
        <v>2</v>
      </c>
      <c r="F44" s="289"/>
      <c r="G44" s="193" t="s">
        <v>313</v>
      </c>
      <c r="H44" s="219"/>
    </row>
    <row r="45" spans="1:8" x14ac:dyDescent="0.25">
      <c r="A45" s="266" t="s">
        <v>314</v>
      </c>
      <c r="B45" s="267"/>
      <c r="C45" s="268"/>
      <c r="D45" s="198" t="s">
        <v>315</v>
      </c>
      <c r="E45" s="308" t="e">
        <f>ROUND((E40*E41)/(E42*(E41+E43)*E44),0)</f>
        <v>#VALUE!</v>
      </c>
      <c r="F45" s="308"/>
      <c r="G45" s="193" t="s">
        <v>316</v>
      </c>
      <c r="H45" s="219"/>
    </row>
    <row r="46" spans="1:8" x14ac:dyDescent="0.25">
      <c r="A46" s="266" t="s">
        <v>317</v>
      </c>
      <c r="B46" s="267"/>
      <c r="C46" s="268"/>
      <c r="D46" s="198" t="s">
        <v>315</v>
      </c>
      <c r="E46" s="336"/>
      <c r="F46" s="336"/>
      <c r="G46" s="193" t="s">
        <v>316</v>
      </c>
      <c r="H46" s="219" t="str">
        <f>IF(E46="","",IF(E46&lt;E45,"Does not meet sizing criteria",""))</f>
        <v/>
      </c>
    </row>
    <row r="47" spans="1:8" ht="13" x14ac:dyDescent="0.25">
      <c r="A47" s="236" t="s">
        <v>276</v>
      </c>
      <c r="B47" s="237"/>
      <c r="C47" s="237"/>
      <c r="D47" s="237"/>
      <c r="E47" s="237"/>
      <c r="F47" s="237"/>
      <c r="G47" s="237"/>
      <c r="H47" s="238"/>
    </row>
    <row r="48" spans="1:8" ht="13" x14ac:dyDescent="0.25">
      <c r="A48" s="335" t="s">
        <v>241</v>
      </c>
      <c r="B48" s="335"/>
      <c r="C48" s="9" t="str">
        <f>IF(A28="","",IF(D30="YES",0,IF(D31&gt;10,0,IF(D32&lt;0.5,0,IF(D33&lt;2,0,IF(D34&lt;2,0,IF(D35&lt;3,0,IF(D36&lt;10,0,IF(D37&lt;24,0,IF(E41&lt;3,0,IF(E43&gt;0.5,0,IF(E46&lt;E45,0,F28*1))))))))))))</f>
        <v/>
      </c>
      <c r="D48" s="310" t="s">
        <v>2</v>
      </c>
      <c r="E48" s="311"/>
      <c r="F48" s="311"/>
      <c r="G48" s="311"/>
      <c r="H48" s="312"/>
    </row>
    <row r="49" spans="1:8" ht="13" x14ac:dyDescent="0.3">
      <c r="A49" s="24" t="s">
        <v>56</v>
      </c>
      <c r="B49" s="23" t="str">
        <f>IF('STEP 2-WQv Calculation'!$B$4="","",'STEP 2-WQv Calculation'!$B$4)</f>
        <v/>
      </c>
      <c r="C49" s="31"/>
      <c r="D49" s="31"/>
      <c r="E49" s="32"/>
      <c r="F49" s="33"/>
      <c r="G49" s="33"/>
      <c r="H49" s="33"/>
    </row>
    <row r="50" spans="1:8" ht="13" x14ac:dyDescent="0.25">
      <c r="A50" s="331" t="s">
        <v>293</v>
      </c>
      <c r="B50" s="332"/>
      <c r="C50" s="332"/>
      <c r="D50" s="332"/>
      <c r="E50" s="332"/>
      <c r="F50" s="332"/>
      <c r="G50" s="332"/>
      <c r="H50" s="333"/>
    </row>
    <row r="51" spans="1:8" ht="38.5" x14ac:dyDescent="0.25">
      <c r="A51" s="204" t="s">
        <v>60</v>
      </c>
      <c r="B51" s="205" t="s">
        <v>61</v>
      </c>
      <c r="C51" s="205" t="s">
        <v>62</v>
      </c>
      <c r="D51" s="205" t="s">
        <v>63</v>
      </c>
      <c r="E51" s="205" t="s">
        <v>64</v>
      </c>
      <c r="F51" s="205" t="s">
        <v>65</v>
      </c>
      <c r="G51" s="205" t="s">
        <v>244</v>
      </c>
      <c r="H51" s="206" t="s">
        <v>13</v>
      </c>
    </row>
    <row r="52" spans="1:8" x14ac:dyDescent="0.25">
      <c r="A52" s="17"/>
      <c r="B52" s="18" t="str">
        <f>IF($A52="","",(LOOKUP($A52,'STEP 2-WQv Calculation'!$A$8:$A$37,'STEP 2-WQv Calculation'!$B$8:$B$37)))</f>
        <v/>
      </c>
      <c r="C52" s="18" t="str">
        <f>IF($A52="","",(LOOKUP($A52,'STEP 2-WQv Calculation'!$A$8:$A$37,'STEP 2-WQv Calculation'!$C$8:$C$37)))</f>
        <v/>
      </c>
      <c r="D52" s="53" t="str">
        <f>IF($A52="","",(LOOKUP($A52,'STEP 2-WQv Calculation'!$A$8:$A$37,'STEP 2-WQv Calculation'!$D$8:$D$37)))</f>
        <v/>
      </c>
      <c r="E52" s="18" t="str">
        <f>IF($A52="","",(LOOKUP($A52,'STEP 2-WQv Calculation'!$A$8:$A$37,'STEP 2-WQv Calculation'!$E$8:$E$37)))</f>
        <v/>
      </c>
      <c r="F52" s="42" t="str">
        <f>IF($A52="","",(LOOKUP($A52,'STEP 2-WQv Calculation'!$A$8:$A$37,'STEP 2-WQv Calculation'!$F$8:$F$37)))</f>
        <v/>
      </c>
      <c r="G52" s="18">
        <f>'STEP 2-WQv Calculation'!B5</f>
        <v>0</v>
      </c>
      <c r="H52" s="29" t="str">
        <f>IF($A52="","",(LOOKUP($A52,'STEP 2-WQv Calculation'!$A$8:$A$37,'STEP 2-WQv Calculation'!$G$8:$G$37)))</f>
        <v/>
      </c>
    </row>
    <row r="53" spans="1:8" ht="13" x14ac:dyDescent="0.3">
      <c r="A53" s="273" t="s">
        <v>226</v>
      </c>
      <c r="B53" s="273"/>
      <c r="C53" s="273"/>
      <c r="D53" s="273"/>
      <c r="E53" s="273"/>
      <c r="F53" s="273"/>
      <c r="G53" s="273"/>
      <c r="H53" s="273"/>
    </row>
    <row r="54" spans="1:8" ht="12.75" customHeight="1" x14ac:dyDescent="0.25">
      <c r="A54" s="245" t="s">
        <v>247</v>
      </c>
      <c r="B54" s="245"/>
      <c r="C54" s="245"/>
      <c r="D54" s="211"/>
      <c r="E54" s="322" t="str">
        <f>IF(D54="","This practice cannot be used for hotspot treatment",IF(D54="Yes","Does not meet design criteria",""))</f>
        <v>This practice cannot be used for hotspot treatment</v>
      </c>
      <c r="F54" s="323"/>
      <c r="G54" s="323"/>
      <c r="H54" s="324"/>
    </row>
    <row r="55" spans="1:8" x14ac:dyDescent="0.25">
      <c r="A55" s="242" t="s">
        <v>279</v>
      </c>
      <c r="B55" s="243"/>
      <c r="C55" s="244"/>
      <c r="D55" s="211"/>
      <c r="E55" s="322" t="str">
        <f>IF(D55&gt;10,"Does not meet design criteria","")</f>
        <v/>
      </c>
      <c r="F55" s="323"/>
      <c r="G55" s="323"/>
      <c r="H55" s="324"/>
    </row>
    <row r="56" spans="1:8" ht="27.75" customHeight="1" x14ac:dyDescent="0.25">
      <c r="A56" s="242" t="s">
        <v>295</v>
      </c>
      <c r="B56" s="243"/>
      <c r="C56" s="244"/>
      <c r="D56" s="44"/>
      <c r="E56" s="322" t="str">
        <f>IF(D56="","",IF(D56&lt;0.5,"Does not meet design criteria",""))</f>
        <v/>
      </c>
      <c r="F56" s="323"/>
      <c r="G56" s="323"/>
      <c r="H56" s="324"/>
    </row>
    <row r="57" spans="1:8" x14ac:dyDescent="0.25">
      <c r="A57" s="242" t="s">
        <v>296</v>
      </c>
      <c r="B57" s="243"/>
      <c r="C57" s="244"/>
      <c r="D57" s="43"/>
      <c r="E57" s="322" t="str">
        <f>IF(D57="","",IF(D57&lt;2,"Does not meet design criteria",""))</f>
        <v/>
      </c>
      <c r="F57" s="323"/>
      <c r="G57" s="323"/>
      <c r="H57" s="324"/>
    </row>
    <row r="58" spans="1:8" x14ac:dyDescent="0.25">
      <c r="A58" s="242" t="s">
        <v>297</v>
      </c>
      <c r="B58" s="243"/>
      <c r="C58" s="244"/>
      <c r="D58" s="43"/>
      <c r="E58" s="322" t="str">
        <f>IF(D58="","",IF(D58&lt;2,"Does not meet design criteria",""))</f>
        <v/>
      </c>
      <c r="F58" s="323"/>
      <c r="G58" s="323"/>
      <c r="H58" s="324"/>
    </row>
    <row r="59" spans="1:8" x14ac:dyDescent="0.25">
      <c r="A59" s="242" t="s">
        <v>285</v>
      </c>
      <c r="B59" s="243"/>
      <c r="C59" s="244"/>
      <c r="D59" s="43"/>
      <c r="E59" s="322" t="str">
        <f>IF(D59&lt;3,"Does not meet design criteria","")</f>
        <v>Does not meet design criteria</v>
      </c>
      <c r="F59" s="323"/>
      <c r="G59" s="323"/>
      <c r="H59" s="324"/>
    </row>
    <row r="60" spans="1:8" x14ac:dyDescent="0.25">
      <c r="A60" s="242" t="s">
        <v>287</v>
      </c>
      <c r="B60" s="243"/>
      <c r="C60" s="244"/>
      <c r="D60" s="43"/>
      <c r="E60" s="322" t="str">
        <f>IF(D60="","",IF(D60&lt;10,"Does not meet design criteria",""))</f>
        <v/>
      </c>
      <c r="F60" s="323"/>
      <c r="G60" s="323"/>
      <c r="H60" s="324"/>
    </row>
    <row r="61" spans="1:8" x14ac:dyDescent="0.25">
      <c r="A61" s="242" t="s">
        <v>300</v>
      </c>
      <c r="B61" s="243"/>
      <c r="C61" s="244"/>
      <c r="D61" s="43"/>
      <c r="E61" s="322" t="str">
        <f>IF(D61="","",IF(D61&lt;24,"Does not meet design criteria",""))</f>
        <v/>
      </c>
      <c r="F61" s="323"/>
      <c r="G61" s="323"/>
      <c r="H61" s="324"/>
    </row>
    <row r="62" spans="1:8" ht="13" x14ac:dyDescent="0.25">
      <c r="A62" s="236" t="s">
        <v>232</v>
      </c>
      <c r="B62" s="237"/>
      <c r="C62" s="237"/>
      <c r="D62" s="237"/>
      <c r="E62" s="237"/>
      <c r="F62" s="237"/>
      <c r="G62" s="237"/>
      <c r="H62" s="238"/>
    </row>
    <row r="63" spans="1:8" ht="13" x14ac:dyDescent="0.25">
      <c r="A63" s="35"/>
      <c r="B63" s="36"/>
      <c r="C63" s="36"/>
      <c r="D63" s="37"/>
      <c r="E63" s="302" t="s">
        <v>256</v>
      </c>
      <c r="F63" s="302"/>
      <c r="G63" s="38" t="s">
        <v>257</v>
      </c>
      <c r="H63" s="38" t="s">
        <v>258</v>
      </c>
    </row>
    <row r="64" spans="1:8" x14ac:dyDescent="0.25">
      <c r="A64" s="289" t="s">
        <v>302</v>
      </c>
      <c r="B64" s="289"/>
      <c r="C64" s="289"/>
      <c r="D64" s="198" t="s">
        <v>303</v>
      </c>
      <c r="E64" s="334" t="str">
        <f>F52</f>
        <v/>
      </c>
      <c r="F64" s="334"/>
      <c r="G64" s="193" t="s">
        <v>2</v>
      </c>
      <c r="H64" s="219"/>
    </row>
    <row r="65" spans="1:8" ht="25" x14ac:dyDescent="0.25">
      <c r="A65" s="289" t="s">
        <v>304</v>
      </c>
      <c r="B65" s="289"/>
      <c r="C65" s="289"/>
      <c r="D65" s="198" t="s">
        <v>305</v>
      </c>
      <c r="E65" s="336"/>
      <c r="F65" s="336"/>
      <c r="G65" s="193" t="s">
        <v>271</v>
      </c>
      <c r="H65" s="219" t="str">
        <f>IF(E65&lt;3,"Does not meet design criteria","")</f>
        <v>Does not meet design criteria</v>
      </c>
    </row>
    <row r="66" spans="1:8" ht="12.75" customHeight="1" x14ac:dyDescent="0.25">
      <c r="A66" s="266" t="s">
        <v>306</v>
      </c>
      <c r="B66" s="267"/>
      <c r="C66" s="268"/>
      <c r="D66" s="198" t="s">
        <v>307</v>
      </c>
      <c r="E66" s="289">
        <v>1</v>
      </c>
      <c r="F66" s="289"/>
      <c r="G66" s="193" t="s">
        <v>308</v>
      </c>
      <c r="H66" s="219" t="str">
        <f>IF(E66&gt;1,"Sizing as Filter","")</f>
        <v/>
      </c>
    </row>
    <row r="67" spans="1:8" ht="12.75" customHeight="1" x14ac:dyDescent="0.25">
      <c r="A67" s="289" t="s">
        <v>309</v>
      </c>
      <c r="B67" s="289"/>
      <c r="C67" s="289"/>
      <c r="D67" s="198" t="s">
        <v>310</v>
      </c>
      <c r="E67" s="336"/>
      <c r="F67" s="336"/>
      <c r="G67" s="193" t="s">
        <v>271</v>
      </c>
      <c r="H67" s="219" t="str">
        <f>IF(E67&gt;0.5,"Does not meet sizing criteria","")</f>
        <v/>
      </c>
    </row>
    <row r="68" spans="1:8" x14ac:dyDescent="0.25">
      <c r="A68" s="289" t="s">
        <v>311</v>
      </c>
      <c r="B68" s="289"/>
      <c r="C68" s="289"/>
      <c r="D68" s="198" t="s">
        <v>312</v>
      </c>
      <c r="E68" s="289">
        <v>2</v>
      </c>
      <c r="F68" s="289"/>
      <c r="G68" s="193" t="s">
        <v>313</v>
      </c>
      <c r="H68" s="219"/>
    </row>
    <row r="69" spans="1:8" x14ac:dyDescent="0.25">
      <c r="A69" s="266" t="s">
        <v>314</v>
      </c>
      <c r="B69" s="267"/>
      <c r="C69" s="268"/>
      <c r="D69" s="198" t="s">
        <v>315</v>
      </c>
      <c r="E69" s="308" t="e">
        <f>ROUND((E64*E65)/(E66*(E65+E67)*E68),0)</f>
        <v>#VALUE!</v>
      </c>
      <c r="F69" s="308"/>
      <c r="G69" s="193" t="s">
        <v>316</v>
      </c>
      <c r="H69" s="219"/>
    </row>
    <row r="70" spans="1:8" x14ac:dyDescent="0.25">
      <c r="A70" s="266" t="s">
        <v>317</v>
      </c>
      <c r="B70" s="267"/>
      <c r="C70" s="268"/>
      <c r="D70" s="198" t="s">
        <v>315</v>
      </c>
      <c r="E70" s="336"/>
      <c r="F70" s="336"/>
      <c r="G70" s="193" t="s">
        <v>316</v>
      </c>
      <c r="H70" s="219" t="str">
        <f>IF(E70="","",IF(E70&lt;E69,"Does not meet sizing criteria",""))</f>
        <v/>
      </c>
    </row>
    <row r="71" spans="1:8" ht="13" x14ac:dyDescent="0.25">
      <c r="A71" s="236" t="s">
        <v>276</v>
      </c>
      <c r="B71" s="237"/>
      <c r="C71" s="237"/>
      <c r="D71" s="237"/>
      <c r="E71" s="237"/>
      <c r="F71" s="237"/>
      <c r="G71" s="237"/>
      <c r="H71" s="238"/>
    </row>
    <row r="72" spans="1:8" ht="13" x14ac:dyDescent="0.25">
      <c r="A72" s="335" t="s">
        <v>241</v>
      </c>
      <c r="B72" s="335"/>
      <c r="C72" s="9" t="str">
        <f>IF(A52="","",IF(D54="YES",0,IF(D55&gt;10,0,IF(D56&lt;0.5,0,IF(D57&lt;2,0,IF(D58&lt;2,0,IF(D59&lt;3,0,IF(D60&lt;10,0,IF(D61&lt;24,0,IF(E65&lt;3,0,IF(E67&gt;0.5,0,IF(E70&lt;E69,0,F52*1))))))))))))</f>
        <v/>
      </c>
      <c r="D72" s="310" t="s">
        <v>2</v>
      </c>
      <c r="E72" s="311"/>
      <c r="F72" s="311"/>
      <c r="G72" s="311"/>
      <c r="H72" s="312"/>
    </row>
    <row r="73" spans="1:8" ht="13" x14ac:dyDescent="0.3">
      <c r="A73" s="24" t="s">
        <v>56</v>
      </c>
      <c r="B73" s="23" t="str">
        <f>IF('STEP 2-WQv Calculation'!$B$4="","",'STEP 2-WQv Calculation'!$B$4)</f>
        <v/>
      </c>
      <c r="C73" s="31"/>
      <c r="D73" s="31"/>
      <c r="E73" s="32"/>
      <c r="F73" s="33"/>
      <c r="G73" s="33"/>
      <c r="H73" s="33"/>
    </row>
    <row r="74" spans="1:8" ht="13" x14ac:dyDescent="0.25">
      <c r="A74" s="331" t="s">
        <v>293</v>
      </c>
      <c r="B74" s="332"/>
      <c r="C74" s="332"/>
      <c r="D74" s="332"/>
      <c r="E74" s="332"/>
      <c r="F74" s="332"/>
      <c r="G74" s="332"/>
      <c r="H74" s="333"/>
    </row>
    <row r="75" spans="1:8" ht="38.5" x14ac:dyDescent="0.25">
      <c r="A75" s="204" t="s">
        <v>60</v>
      </c>
      <c r="B75" s="205" t="s">
        <v>61</v>
      </c>
      <c r="C75" s="205" t="s">
        <v>62</v>
      </c>
      <c r="D75" s="205" t="s">
        <v>63</v>
      </c>
      <c r="E75" s="205" t="s">
        <v>64</v>
      </c>
      <c r="F75" s="205" t="s">
        <v>65</v>
      </c>
      <c r="G75" s="205" t="s">
        <v>244</v>
      </c>
      <c r="H75" s="206" t="s">
        <v>13</v>
      </c>
    </row>
    <row r="76" spans="1:8" x14ac:dyDescent="0.25">
      <c r="A76" s="17"/>
      <c r="B76" s="18" t="str">
        <f>IF($A76="","",(LOOKUP($A76,'STEP 2-WQv Calculation'!$A$8:$A$37,'STEP 2-WQv Calculation'!$B$8:$B$37)))</f>
        <v/>
      </c>
      <c r="C76" s="18" t="str">
        <f>IF($A76="","",(LOOKUP($A76,'STEP 2-WQv Calculation'!$A$8:$A$37,'STEP 2-WQv Calculation'!$C$8:$C$37)))</f>
        <v/>
      </c>
      <c r="D76" s="53" t="str">
        <f>IF($A76="","",(LOOKUP($A76,'STEP 2-WQv Calculation'!$A$8:$A$37,'STEP 2-WQv Calculation'!$D$8:$D$37)))</f>
        <v/>
      </c>
      <c r="E76" s="18" t="str">
        <f>IF($A76="","",(LOOKUP($A76,'STEP 2-WQv Calculation'!$A$8:$A$37,'STEP 2-WQv Calculation'!$E$8:$E$37)))</f>
        <v/>
      </c>
      <c r="F76" s="42" t="str">
        <f>IF($A76="","",(LOOKUP($A76,'STEP 2-WQv Calculation'!$A$8:$A$37,'STEP 2-WQv Calculation'!$F$8:$F$37)))</f>
        <v/>
      </c>
      <c r="G76" s="18">
        <f>'STEP 2-WQv Calculation'!B5</f>
        <v>0</v>
      </c>
      <c r="H76" s="29" t="str">
        <f>IF($A76="","",(LOOKUP($A76,'STEP 2-WQv Calculation'!$A$8:$A$37,'STEP 2-WQv Calculation'!$G$8:$G$37)))</f>
        <v/>
      </c>
    </row>
    <row r="77" spans="1:8" ht="13" x14ac:dyDescent="0.3">
      <c r="A77" s="273" t="s">
        <v>226</v>
      </c>
      <c r="B77" s="273"/>
      <c r="C77" s="273"/>
      <c r="D77" s="273"/>
      <c r="E77" s="273"/>
      <c r="F77" s="273"/>
      <c r="G77" s="273"/>
      <c r="H77" s="273"/>
    </row>
    <row r="78" spans="1:8" ht="12.75" customHeight="1" x14ac:dyDescent="0.25">
      <c r="A78" s="245" t="s">
        <v>247</v>
      </c>
      <c r="B78" s="245"/>
      <c r="C78" s="245"/>
      <c r="D78" s="211"/>
      <c r="E78" s="322" t="str">
        <f>IF(D78="","This practice cannot be used for hotspot treatment",IF(D78="Yes","Does not meet design criteria",""))</f>
        <v>This practice cannot be used for hotspot treatment</v>
      </c>
      <c r="F78" s="323"/>
      <c r="G78" s="323"/>
      <c r="H78" s="324"/>
    </row>
    <row r="79" spans="1:8" x14ac:dyDescent="0.25">
      <c r="A79" s="242" t="s">
        <v>279</v>
      </c>
      <c r="B79" s="243"/>
      <c r="C79" s="244"/>
      <c r="D79" s="211"/>
      <c r="E79" s="322" t="str">
        <f>IF(D79&gt;10,"Does not meet design criteria","")</f>
        <v/>
      </c>
      <c r="F79" s="323"/>
      <c r="G79" s="323"/>
      <c r="H79" s="324"/>
    </row>
    <row r="80" spans="1:8" ht="27" customHeight="1" x14ac:dyDescent="0.25">
      <c r="A80" s="242" t="s">
        <v>295</v>
      </c>
      <c r="B80" s="243"/>
      <c r="C80" s="244"/>
      <c r="D80" s="44"/>
      <c r="E80" s="322" t="str">
        <f>IF(D80="","",IF(D80&lt;0.5,"Does not meet design criteria",""))</f>
        <v/>
      </c>
      <c r="F80" s="323"/>
      <c r="G80" s="323"/>
      <c r="H80" s="324"/>
    </row>
    <row r="81" spans="1:8" x14ac:dyDescent="0.25">
      <c r="A81" s="242" t="s">
        <v>296</v>
      </c>
      <c r="B81" s="243"/>
      <c r="C81" s="244"/>
      <c r="D81" s="43"/>
      <c r="E81" s="322" t="str">
        <f>IF(D81="","",IF(D81&lt;2,"Does not meet design criteria",""))</f>
        <v/>
      </c>
      <c r="F81" s="323"/>
      <c r="G81" s="323"/>
      <c r="H81" s="324"/>
    </row>
    <row r="82" spans="1:8" x14ac:dyDescent="0.25">
      <c r="A82" s="242" t="s">
        <v>297</v>
      </c>
      <c r="B82" s="243"/>
      <c r="C82" s="244"/>
      <c r="D82" s="43"/>
      <c r="E82" s="322" t="str">
        <f>IF(D82="","",IF(D82&lt;2,"Does not meet design criteria",""))</f>
        <v/>
      </c>
      <c r="F82" s="323"/>
      <c r="G82" s="323"/>
      <c r="H82" s="324"/>
    </row>
    <row r="83" spans="1:8" x14ac:dyDescent="0.25">
      <c r="A83" s="242" t="s">
        <v>285</v>
      </c>
      <c r="B83" s="243"/>
      <c r="C83" s="244"/>
      <c r="D83" s="43"/>
      <c r="E83" s="322" t="str">
        <f>IF(D83&lt;3,"Does not meet design criteria","")</f>
        <v>Does not meet design criteria</v>
      </c>
      <c r="F83" s="323"/>
      <c r="G83" s="323"/>
      <c r="H83" s="324"/>
    </row>
    <row r="84" spans="1:8" x14ac:dyDescent="0.25">
      <c r="A84" s="242" t="s">
        <v>287</v>
      </c>
      <c r="B84" s="243"/>
      <c r="C84" s="244"/>
      <c r="D84" s="43"/>
      <c r="E84" s="322" t="str">
        <f>IF(D84="","",IF(D84&lt;10,"Does not meet design criteria",""))</f>
        <v/>
      </c>
      <c r="F84" s="323"/>
      <c r="G84" s="323"/>
      <c r="H84" s="324"/>
    </row>
    <row r="85" spans="1:8" x14ac:dyDescent="0.25">
      <c r="A85" s="242" t="s">
        <v>300</v>
      </c>
      <c r="B85" s="243"/>
      <c r="C85" s="244"/>
      <c r="D85" s="43"/>
      <c r="E85" s="322" t="str">
        <f>IF(D85="","",IF(D85&lt;24,"Does not meet design criteria",""))</f>
        <v/>
      </c>
      <c r="F85" s="323"/>
      <c r="G85" s="323"/>
      <c r="H85" s="324"/>
    </row>
    <row r="86" spans="1:8" ht="13" x14ac:dyDescent="0.25">
      <c r="A86" s="236" t="s">
        <v>232</v>
      </c>
      <c r="B86" s="237"/>
      <c r="C86" s="237"/>
      <c r="D86" s="237"/>
      <c r="E86" s="237"/>
      <c r="F86" s="237"/>
      <c r="G86" s="237"/>
      <c r="H86" s="238"/>
    </row>
    <row r="87" spans="1:8" ht="13" x14ac:dyDescent="0.25">
      <c r="A87" s="35"/>
      <c r="B87" s="36"/>
      <c r="C87" s="36"/>
      <c r="D87" s="37"/>
      <c r="E87" s="302" t="s">
        <v>256</v>
      </c>
      <c r="F87" s="302"/>
      <c r="G87" s="38" t="s">
        <v>257</v>
      </c>
      <c r="H87" s="38" t="s">
        <v>258</v>
      </c>
    </row>
    <row r="88" spans="1:8" x14ac:dyDescent="0.25">
      <c r="A88" s="289" t="s">
        <v>302</v>
      </c>
      <c r="B88" s="289"/>
      <c r="C88" s="289"/>
      <c r="D88" s="198" t="s">
        <v>303</v>
      </c>
      <c r="E88" s="334" t="str">
        <f>F76</f>
        <v/>
      </c>
      <c r="F88" s="334"/>
      <c r="G88" s="193" t="s">
        <v>2</v>
      </c>
      <c r="H88" s="219"/>
    </row>
    <row r="89" spans="1:8" ht="25" x14ac:dyDescent="0.25">
      <c r="A89" s="289" t="s">
        <v>304</v>
      </c>
      <c r="B89" s="289"/>
      <c r="C89" s="289"/>
      <c r="D89" s="198" t="s">
        <v>305</v>
      </c>
      <c r="E89" s="336"/>
      <c r="F89" s="336"/>
      <c r="G89" s="193" t="s">
        <v>271</v>
      </c>
      <c r="H89" s="219" t="str">
        <f>IF(E89&lt;3,"Does not meet design criteria","")</f>
        <v>Does not meet design criteria</v>
      </c>
    </row>
    <row r="90" spans="1:8" ht="12.75" customHeight="1" x14ac:dyDescent="0.25">
      <c r="A90" s="266" t="s">
        <v>306</v>
      </c>
      <c r="B90" s="267"/>
      <c r="C90" s="268"/>
      <c r="D90" s="198" t="s">
        <v>307</v>
      </c>
      <c r="E90" s="289">
        <v>1</v>
      </c>
      <c r="F90" s="289"/>
      <c r="G90" s="193" t="s">
        <v>308</v>
      </c>
      <c r="H90" s="219" t="str">
        <f>IF(E90&gt;1,"Sizing as Filter","")</f>
        <v/>
      </c>
    </row>
    <row r="91" spans="1:8" ht="12.75" customHeight="1" x14ac:dyDescent="0.25">
      <c r="A91" s="289" t="s">
        <v>309</v>
      </c>
      <c r="B91" s="289"/>
      <c r="C91" s="289"/>
      <c r="D91" s="198" t="s">
        <v>310</v>
      </c>
      <c r="E91" s="336"/>
      <c r="F91" s="336"/>
      <c r="G91" s="193" t="s">
        <v>271</v>
      </c>
      <c r="H91" s="219" t="str">
        <f>IF(E91&gt;0.5,"Does not meet sizing criteria","")</f>
        <v/>
      </c>
    </row>
    <row r="92" spans="1:8" x14ac:dyDescent="0.25">
      <c r="A92" s="289" t="s">
        <v>311</v>
      </c>
      <c r="B92" s="289"/>
      <c r="C92" s="289"/>
      <c r="D92" s="198" t="s">
        <v>312</v>
      </c>
      <c r="E92" s="289">
        <v>2</v>
      </c>
      <c r="F92" s="289"/>
      <c r="G92" s="193" t="s">
        <v>313</v>
      </c>
      <c r="H92" s="219"/>
    </row>
    <row r="93" spans="1:8" x14ac:dyDescent="0.25">
      <c r="A93" s="266" t="s">
        <v>314</v>
      </c>
      <c r="B93" s="267"/>
      <c r="C93" s="268"/>
      <c r="D93" s="198" t="s">
        <v>315</v>
      </c>
      <c r="E93" s="308" t="e">
        <f>ROUND((E88*E89)/(E90*(E89+E91)*E92),0)</f>
        <v>#VALUE!</v>
      </c>
      <c r="F93" s="308"/>
      <c r="G93" s="193" t="s">
        <v>316</v>
      </c>
      <c r="H93" s="219"/>
    </row>
    <row r="94" spans="1:8" x14ac:dyDescent="0.25">
      <c r="A94" s="266" t="s">
        <v>317</v>
      </c>
      <c r="B94" s="267"/>
      <c r="C94" s="268"/>
      <c r="D94" s="198" t="s">
        <v>315</v>
      </c>
      <c r="E94" s="336"/>
      <c r="F94" s="336"/>
      <c r="G94" s="193" t="s">
        <v>316</v>
      </c>
      <c r="H94" s="219" t="str">
        <f>IF(E94="","",IF(E94&lt;E93,"Does not meet sizing criteria",""))</f>
        <v/>
      </c>
    </row>
    <row r="95" spans="1:8" ht="13" x14ac:dyDescent="0.25">
      <c r="A95" s="236" t="s">
        <v>276</v>
      </c>
      <c r="B95" s="237"/>
      <c r="C95" s="237"/>
      <c r="D95" s="237"/>
      <c r="E95" s="237"/>
      <c r="F95" s="237"/>
      <c r="G95" s="237"/>
      <c r="H95" s="238"/>
    </row>
    <row r="96" spans="1:8" ht="13" x14ac:dyDescent="0.25">
      <c r="A96" s="335" t="s">
        <v>241</v>
      </c>
      <c r="B96" s="335"/>
      <c r="C96" s="9" t="str">
        <f>IF(A76="","",IF(D78="YES",0,IF(D79&gt;10,0,IF(D80&lt;0.5,0,IF(D81&lt;2,0,IF(D82&lt;2,0,IF(D83&lt;3,0,IF(D84&lt;10,0,IF(D85&lt;24,0,IF(E89&lt;3,0,IF(E91&gt;0.5,0,IF(E94&lt;E93,0,F76*1))))))))))))</f>
        <v/>
      </c>
      <c r="D96" s="310" t="s">
        <v>2</v>
      </c>
      <c r="E96" s="311"/>
      <c r="F96" s="311"/>
      <c r="G96" s="311"/>
      <c r="H96" s="312"/>
    </row>
    <row r="97" spans="1:8" ht="13" x14ac:dyDescent="0.3">
      <c r="A97" s="24" t="s">
        <v>56</v>
      </c>
      <c r="B97" s="23" t="str">
        <f>IF('STEP 2-WQv Calculation'!$B$4="","",'STEP 2-WQv Calculation'!$B$4)</f>
        <v/>
      </c>
      <c r="C97" s="31"/>
      <c r="D97" s="31"/>
      <c r="E97" s="32"/>
      <c r="F97" s="33"/>
      <c r="G97" s="33"/>
      <c r="H97" s="33"/>
    </row>
    <row r="98" spans="1:8" ht="13" x14ac:dyDescent="0.25">
      <c r="A98" s="331" t="s">
        <v>293</v>
      </c>
      <c r="B98" s="332"/>
      <c r="C98" s="332"/>
      <c r="D98" s="332"/>
      <c r="E98" s="332"/>
      <c r="F98" s="332"/>
      <c r="G98" s="332"/>
      <c r="H98" s="333"/>
    </row>
    <row r="99" spans="1:8" ht="38.5" x14ac:dyDescent="0.25">
      <c r="A99" s="204" t="s">
        <v>60</v>
      </c>
      <c r="B99" s="205" t="s">
        <v>61</v>
      </c>
      <c r="C99" s="205" t="s">
        <v>62</v>
      </c>
      <c r="D99" s="205" t="s">
        <v>63</v>
      </c>
      <c r="E99" s="205" t="s">
        <v>64</v>
      </c>
      <c r="F99" s="205" t="s">
        <v>65</v>
      </c>
      <c r="G99" s="205" t="s">
        <v>244</v>
      </c>
      <c r="H99" s="206" t="s">
        <v>13</v>
      </c>
    </row>
    <row r="100" spans="1:8" x14ac:dyDescent="0.25">
      <c r="A100" s="17"/>
      <c r="B100" s="18" t="str">
        <f>IF($A100="","",(LOOKUP($A100,'STEP 2-WQv Calculation'!$A$8:$A$37,'STEP 2-WQv Calculation'!$B$8:$B$37)))</f>
        <v/>
      </c>
      <c r="C100" s="18" t="str">
        <f>IF($A100="","",(LOOKUP($A100,'STEP 2-WQv Calculation'!$A$8:$A$37,'STEP 2-WQv Calculation'!$C$8:$C$37)))</f>
        <v/>
      </c>
      <c r="D100" s="53" t="str">
        <f>IF($A100="","",(LOOKUP($A100,'STEP 2-WQv Calculation'!$A$8:$A$37,'STEP 2-WQv Calculation'!$D$8:$D$37)))</f>
        <v/>
      </c>
      <c r="E100" s="18" t="str">
        <f>IF($A100="","",(LOOKUP($A100,'STEP 2-WQv Calculation'!$A$8:$A$37,'STEP 2-WQv Calculation'!$E$8:$E$37)))</f>
        <v/>
      </c>
      <c r="F100" s="42" t="str">
        <f>IF($A100="","",(LOOKUP($A100,'STEP 2-WQv Calculation'!$A$8:$A$37,'STEP 2-WQv Calculation'!$F$8:$F$37)))</f>
        <v/>
      </c>
      <c r="G100" s="18">
        <f>'STEP 2-WQv Calculation'!B5</f>
        <v>0</v>
      </c>
      <c r="H100" s="29" t="str">
        <f>IF($A100="","",(LOOKUP($A100,'STEP 2-WQv Calculation'!$A$8:$A$37,'STEP 2-WQv Calculation'!$G$8:$G$37)))</f>
        <v/>
      </c>
    </row>
    <row r="101" spans="1:8" ht="13" x14ac:dyDescent="0.3">
      <c r="A101" s="273" t="s">
        <v>226</v>
      </c>
      <c r="B101" s="273"/>
      <c r="C101" s="273"/>
      <c r="D101" s="273"/>
      <c r="E101" s="273"/>
      <c r="F101" s="273"/>
      <c r="G101" s="273"/>
      <c r="H101" s="273"/>
    </row>
    <row r="102" spans="1:8" ht="12.75" customHeight="1" x14ac:dyDescent="0.25">
      <c r="A102" s="245" t="s">
        <v>247</v>
      </c>
      <c r="B102" s="245"/>
      <c r="C102" s="245"/>
      <c r="D102" s="211"/>
      <c r="E102" s="322" t="str">
        <f>IF(D102="","This practice cannot be used for hotspot treatment",IF(D102="Yes","Does not meet design criteria",""))</f>
        <v>This practice cannot be used for hotspot treatment</v>
      </c>
      <c r="F102" s="323"/>
      <c r="G102" s="323"/>
      <c r="H102" s="324"/>
    </row>
    <row r="103" spans="1:8" x14ac:dyDescent="0.25">
      <c r="A103" s="242" t="s">
        <v>279</v>
      </c>
      <c r="B103" s="243"/>
      <c r="C103" s="244"/>
      <c r="D103" s="211"/>
      <c r="E103" s="322" t="str">
        <f>IF(D103&gt;10,"Does not meet design criteria","")</f>
        <v/>
      </c>
      <c r="F103" s="323"/>
      <c r="G103" s="323"/>
      <c r="H103" s="324"/>
    </row>
    <row r="104" spans="1:8" x14ac:dyDescent="0.25">
      <c r="A104" s="242" t="s">
        <v>295</v>
      </c>
      <c r="B104" s="243"/>
      <c r="C104" s="244"/>
      <c r="D104" s="44"/>
      <c r="E104" s="322" t="str">
        <f>IF(D104="","",IF(D104&lt;0.5,"Does not meet design criteria",""))</f>
        <v/>
      </c>
      <c r="F104" s="323"/>
      <c r="G104" s="323"/>
      <c r="H104" s="324"/>
    </row>
    <row r="105" spans="1:8" x14ac:dyDescent="0.25">
      <c r="A105" s="242" t="s">
        <v>296</v>
      </c>
      <c r="B105" s="243"/>
      <c r="C105" s="244"/>
      <c r="D105" s="43"/>
      <c r="E105" s="322" t="str">
        <f>IF(D105="","",IF(D105&lt;2,"Does not meet design criteria",""))</f>
        <v/>
      </c>
      <c r="F105" s="323"/>
      <c r="G105" s="323"/>
      <c r="H105" s="324"/>
    </row>
    <row r="106" spans="1:8" x14ac:dyDescent="0.25">
      <c r="A106" s="242" t="s">
        <v>297</v>
      </c>
      <c r="B106" s="243"/>
      <c r="C106" s="244"/>
      <c r="D106" s="43"/>
      <c r="E106" s="322" t="str">
        <f>IF(D106="","",IF(D106&lt;2,"Does not meet design criteria",""))</f>
        <v/>
      </c>
      <c r="F106" s="323"/>
      <c r="G106" s="323"/>
      <c r="H106" s="324"/>
    </row>
    <row r="107" spans="1:8" x14ac:dyDescent="0.25">
      <c r="A107" s="242" t="s">
        <v>285</v>
      </c>
      <c r="B107" s="243"/>
      <c r="C107" s="244"/>
      <c r="D107" s="43"/>
      <c r="E107" s="322" t="str">
        <f>IF(D107&gt;3,"Does not meet design criteria","")</f>
        <v/>
      </c>
      <c r="F107" s="323"/>
      <c r="G107" s="323"/>
      <c r="H107" s="324"/>
    </row>
    <row r="108" spans="1:8" x14ac:dyDescent="0.25">
      <c r="A108" s="242" t="s">
        <v>287</v>
      </c>
      <c r="B108" s="243"/>
      <c r="C108" s="244"/>
      <c r="D108" s="43"/>
      <c r="E108" s="322" t="str">
        <f>IF(D108="","",IF(D108&lt;10,"Does not meet design criteria",""))</f>
        <v/>
      </c>
      <c r="F108" s="323"/>
      <c r="G108" s="323"/>
      <c r="H108" s="324"/>
    </row>
    <row r="109" spans="1:8" x14ac:dyDescent="0.25">
      <c r="A109" s="242" t="s">
        <v>300</v>
      </c>
      <c r="B109" s="243"/>
      <c r="C109" s="244"/>
      <c r="D109" s="43"/>
      <c r="E109" s="322" t="str">
        <f>IF(D109="","",IF(D109&lt;24,"Does not meet design criteria",""))</f>
        <v/>
      </c>
      <c r="F109" s="323"/>
      <c r="G109" s="323"/>
      <c r="H109" s="324"/>
    </row>
    <row r="110" spans="1:8" ht="13" x14ac:dyDescent="0.25">
      <c r="A110" s="236" t="s">
        <v>232</v>
      </c>
      <c r="B110" s="237"/>
      <c r="C110" s="237"/>
      <c r="D110" s="237"/>
      <c r="E110" s="237"/>
      <c r="F110" s="237"/>
      <c r="G110" s="237"/>
      <c r="H110" s="238"/>
    </row>
    <row r="111" spans="1:8" ht="13" x14ac:dyDescent="0.25">
      <c r="A111" s="35"/>
      <c r="B111" s="36"/>
      <c r="C111" s="36"/>
      <c r="D111" s="37"/>
      <c r="E111" s="302" t="s">
        <v>256</v>
      </c>
      <c r="F111" s="302"/>
      <c r="G111" s="38" t="s">
        <v>257</v>
      </c>
      <c r="H111" s="38" t="s">
        <v>258</v>
      </c>
    </row>
    <row r="112" spans="1:8" x14ac:dyDescent="0.25">
      <c r="A112" s="289" t="s">
        <v>302</v>
      </c>
      <c r="B112" s="289"/>
      <c r="C112" s="289"/>
      <c r="D112" s="198" t="s">
        <v>303</v>
      </c>
      <c r="E112" s="334" t="str">
        <f>F100</f>
        <v/>
      </c>
      <c r="F112" s="334"/>
      <c r="G112" s="193" t="s">
        <v>2</v>
      </c>
      <c r="H112" s="219"/>
    </row>
    <row r="113" spans="1:8" ht="25" x14ac:dyDescent="0.25">
      <c r="A113" s="289" t="s">
        <v>304</v>
      </c>
      <c r="B113" s="289"/>
      <c r="C113" s="289"/>
      <c r="D113" s="198" t="s">
        <v>305</v>
      </c>
      <c r="E113" s="336"/>
      <c r="F113" s="336"/>
      <c r="G113" s="193" t="s">
        <v>271</v>
      </c>
      <c r="H113" s="219" t="str">
        <f>IF(E113&lt;3,"Does not meet design criteria","")</f>
        <v>Does not meet design criteria</v>
      </c>
    </row>
    <row r="114" spans="1:8" ht="12.75" customHeight="1" x14ac:dyDescent="0.25">
      <c r="A114" s="266" t="s">
        <v>306</v>
      </c>
      <c r="B114" s="267"/>
      <c r="C114" s="268"/>
      <c r="D114" s="198" t="s">
        <v>307</v>
      </c>
      <c r="E114" s="289">
        <v>1</v>
      </c>
      <c r="F114" s="289"/>
      <c r="G114" s="193" t="s">
        <v>308</v>
      </c>
      <c r="H114" s="219" t="str">
        <f>IF(E114&gt;1,"Sizing as Filter","")</f>
        <v/>
      </c>
    </row>
    <row r="115" spans="1:8" ht="12.75" customHeight="1" x14ac:dyDescent="0.25">
      <c r="A115" s="289" t="s">
        <v>309</v>
      </c>
      <c r="B115" s="289"/>
      <c r="C115" s="289"/>
      <c r="D115" s="198" t="s">
        <v>310</v>
      </c>
      <c r="E115" s="336"/>
      <c r="F115" s="336"/>
      <c r="G115" s="193" t="s">
        <v>271</v>
      </c>
      <c r="H115" s="219" t="str">
        <f>IF(E115&gt;0.5,"Does not meet sizing criteria","")</f>
        <v/>
      </c>
    </row>
    <row r="116" spans="1:8" x14ac:dyDescent="0.25">
      <c r="A116" s="289" t="s">
        <v>311</v>
      </c>
      <c r="B116" s="289"/>
      <c r="C116" s="289"/>
      <c r="D116" s="198" t="s">
        <v>312</v>
      </c>
      <c r="E116" s="289">
        <v>2</v>
      </c>
      <c r="F116" s="289"/>
      <c r="G116" s="193" t="s">
        <v>313</v>
      </c>
      <c r="H116" s="219"/>
    </row>
    <row r="117" spans="1:8" x14ac:dyDescent="0.25">
      <c r="A117" s="266" t="s">
        <v>314</v>
      </c>
      <c r="B117" s="267"/>
      <c r="C117" s="268"/>
      <c r="D117" s="198" t="s">
        <v>315</v>
      </c>
      <c r="E117" s="308" t="e">
        <f>ROUND((E112*E113)/(E114*(E113+E115)*E116),0)</f>
        <v>#VALUE!</v>
      </c>
      <c r="F117" s="308"/>
      <c r="G117" s="193" t="s">
        <v>316</v>
      </c>
      <c r="H117" s="219"/>
    </row>
    <row r="118" spans="1:8" x14ac:dyDescent="0.25">
      <c r="A118" s="266" t="s">
        <v>317</v>
      </c>
      <c r="B118" s="267"/>
      <c r="C118" s="268"/>
      <c r="D118" s="198" t="s">
        <v>315</v>
      </c>
      <c r="E118" s="336"/>
      <c r="F118" s="336"/>
      <c r="G118" s="193" t="s">
        <v>316</v>
      </c>
      <c r="H118" s="219" t="str">
        <f>IF(E118="","",IF(E118&lt;E117,"Does not meet sizing criteria",""))</f>
        <v/>
      </c>
    </row>
    <row r="119" spans="1:8" ht="13" x14ac:dyDescent="0.25">
      <c r="A119" s="236" t="s">
        <v>276</v>
      </c>
      <c r="B119" s="237"/>
      <c r="C119" s="237"/>
      <c r="D119" s="237"/>
      <c r="E119" s="237"/>
      <c r="F119" s="237"/>
      <c r="G119" s="237"/>
      <c r="H119" s="238"/>
    </row>
    <row r="120" spans="1:8" ht="13" x14ac:dyDescent="0.25">
      <c r="A120" s="335" t="s">
        <v>241</v>
      </c>
      <c r="B120" s="335"/>
      <c r="C120" s="9" t="str">
        <f>IF(A100="","",IF(D102="YES",0,IF(D103&gt;10,0,IF(D104&lt;0.5,0,IF(D105&lt;2,0,IF(D106&lt;2,0,IF(D107&lt;3,0,IF(D108&lt;10,0,IF(D109&lt;24,0,IF(E113&lt;3,0,IF(E115&gt;0.5,0,IF(E118&lt;E117,0,F100*1))))))))))))</f>
        <v/>
      </c>
      <c r="D120" s="310" t="s">
        <v>2</v>
      </c>
      <c r="E120" s="311"/>
      <c r="F120" s="311"/>
      <c r="G120" s="311"/>
      <c r="H120" s="312"/>
    </row>
    <row r="121" spans="1:8" ht="13" x14ac:dyDescent="0.3">
      <c r="A121" s="24" t="s">
        <v>56</v>
      </c>
      <c r="B121" s="23" t="str">
        <f>IF('STEP 2-WQv Calculation'!$B$4="","",'STEP 2-WQv Calculation'!$B$4)</f>
        <v/>
      </c>
      <c r="C121" s="31"/>
      <c r="D121" s="31"/>
      <c r="E121" s="32"/>
      <c r="F121" s="33"/>
      <c r="G121" s="33"/>
      <c r="H121" s="33"/>
    </row>
    <row r="122" spans="1:8" ht="13" x14ac:dyDescent="0.25">
      <c r="A122" s="331" t="s">
        <v>293</v>
      </c>
      <c r="B122" s="332"/>
      <c r="C122" s="332"/>
      <c r="D122" s="332"/>
      <c r="E122" s="332"/>
      <c r="F122" s="332"/>
      <c r="G122" s="332"/>
      <c r="H122" s="333"/>
    </row>
    <row r="123" spans="1:8" ht="38.5" x14ac:dyDescent="0.25">
      <c r="A123" s="204" t="s">
        <v>60</v>
      </c>
      <c r="B123" s="205" t="s">
        <v>61</v>
      </c>
      <c r="C123" s="205" t="s">
        <v>62</v>
      </c>
      <c r="D123" s="205" t="s">
        <v>63</v>
      </c>
      <c r="E123" s="205" t="s">
        <v>64</v>
      </c>
      <c r="F123" s="205" t="s">
        <v>65</v>
      </c>
      <c r="G123" s="205" t="s">
        <v>244</v>
      </c>
      <c r="H123" s="206" t="s">
        <v>13</v>
      </c>
    </row>
    <row r="124" spans="1:8" x14ac:dyDescent="0.25">
      <c r="A124" s="17"/>
      <c r="B124" s="18" t="str">
        <f>IF($A124="","",(LOOKUP($A124,'STEP 2-WQv Calculation'!$A$8:$A$37,'STEP 2-WQv Calculation'!$B$8:$B$37)))</f>
        <v/>
      </c>
      <c r="C124" s="18" t="str">
        <f>IF($A124="","",(LOOKUP($A124,'STEP 2-WQv Calculation'!$A$8:$A$37,'STEP 2-WQv Calculation'!$C$8:$C$37)))</f>
        <v/>
      </c>
      <c r="D124" s="53" t="str">
        <f>IF($A124="","",(LOOKUP($A124,'STEP 2-WQv Calculation'!$A$8:$A$37,'STEP 2-WQv Calculation'!$D$8:$D$37)))</f>
        <v/>
      </c>
      <c r="E124" s="18" t="str">
        <f>IF($A124="","",(LOOKUP($A124,'STEP 2-WQv Calculation'!$A$8:$A$37,'STEP 2-WQv Calculation'!$E$8:$E$37)))</f>
        <v/>
      </c>
      <c r="F124" s="42" t="str">
        <f>IF($A124="","",(LOOKUP($A124,'STEP 2-WQv Calculation'!$A$8:$A$37,'STEP 2-WQv Calculation'!$F$8:$F$37)))</f>
        <v/>
      </c>
      <c r="G124" s="18">
        <f>'STEP 2-WQv Calculation'!B29</f>
        <v>0</v>
      </c>
      <c r="H124" s="29" t="str">
        <f>IF($A124="","",(LOOKUP($A124,'STEP 2-WQv Calculation'!$A$8:$A$37,'STEP 2-WQv Calculation'!$G$8:$G$37)))</f>
        <v/>
      </c>
    </row>
    <row r="125" spans="1:8" ht="13" x14ac:dyDescent="0.3">
      <c r="A125" s="273" t="s">
        <v>226</v>
      </c>
      <c r="B125" s="273"/>
      <c r="C125" s="273"/>
      <c r="D125" s="273"/>
      <c r="E125" s="273"/>
      <c r="F125" s="273"/>
      <c r="G125" s="273"/>
      <c r="H125" s="273"/>
    </row>
    <row r="126" spans="1:8" x14ac:dyDescent="0.25">
      <c r="A126" s="245" t="s">
        <v>247</v>
      </c>
      <c r="B126" s="245"/>
      <c r="C126" s="245"/>
      <c r="D126" s="211"/>
      <c r="E126" s="322" t="str">
        <f>IF(D126="","This practice cannot be used for hotspot treatment",IF(D126="Yes","Does not meet design criteria",""))</f>
        <v>This practice cannot be used for hotspot treatment</v>
      </c>
      <c r="F126" s="323"/>
      <c r="G126" s="323"/>
      <c r="H126" s="324"/>
    </row>
    <row r="127" spans="1:8" x14ac:dyDescent="0.25">
      <c r="A127" s="242" t="s">
        <v>279</v>
      </c>
      <c r="B127" s="243"/>
      <c r="C127" s="244"/>
      <c r="D127" s="211"/>
      <c r="E127" s="322" t="str">
        <f>IF(D127&gt;10,"Does not meet design criteria","")</f>
        <v/>
      </c>
      <c r="F127" s="323"/>
      <c r="G127" s="323"/>
      <c r="H127" s="324"/>
    </row>
    <row r="128" spans="1:8" x14ac:dyDescent="0.25">
      <c r="A128" s="242" t="s">
        <v>295</v>
      </c>
      <c r="B128" s="243"/>
      <c r="C128" s="244"/>
      <c r="D128" s="44"/>
      <c r="E128" s="322" t="str">
        <f>IF(D128="","",IF(D128&lt;0.5,"Does not meet design criteria",""))</f>
        <v/>
      </c>
      <c r="F128" s="323"/>
      <c r="G128" s="323"/>
      <c r="H128" s="324"/>
    </row>
    <row r="129" spans="1:8" x14ac:dyDescent="0.25">
      <c r="A129" s="242" t="s">
        <v>296</v>
      </c>
      <c r="B129" s="243"/>
      <c r="C129" s="244"/>
      <c r="D129" s="43"/>
      <c r="E129" s="322" t="str">
        <f>IF(D129="","",IF(D129&lt;2,"Does not meet design criteria",""))</f>
        <v/>
      </c>
      <c r="F129" s="323"/>
      <c r="G129" s="323"/>
      <c r="H129" s="324"/>
    </row>
    <row r="130" spans="1:8" x14ac:dyDescent="0.25">
      <c r="A130" s="242" t="s">
        <v>297</v>
      </c>
      <c r="B130" s="243"/>
      <c r="C130" s="244"/>
      <c r="D130" s="43"/>
      <c r="E130" s="322" t="str">
        <f>IF(D130="","",IF(D130&lt;2,"Does not meet design criteria",""))</f>
        <v/>
      </c>
      <c r="F130" s="323"/>
      <c r="G130" s="323"/>
      <c r="H130" s="324"/>
    </row>
    <row r="131" spans="1:8" x14ac:dyDescent="0.25">
      <c r="A131" s="242" t="s">
        <v>285</v>
      </c>
      <c r="B131" s="243"/>
      <c r="C131" s="244"/>
      <c r="D131" s="43"/>
      <c r="E131" s="322" t="str">
        <f>IF(D131&gt;3,"Does not meet design criteria","")</f>
        <v/>
      </c>
      <c r="F131" s="323"/>
      <c r="G131" s="323"/>
      <c r="H131" s="324"/>
    </row>
    <row r="132" spans="1:8" x14ac:dyDescent="0.25">
      <c r="A132" s="242" t="s">
        <v>287</v>
      </c>
      <c r="B132" s="243"/>
      <c r="C132" s="244"/>
      <c r="D132" s="43"/>
      <c r="E132" s="322" t="str">
        <f>IF(D132="","",IF(D132&lt;10,"Does not meet design criteria",""))</f>
        <v/>
      </c>
      <c r="F132" s="323"/>
      <c r="G132" s="323"/>
      <c r="H132" s="324"/>
    </row>
    <row r="133" spans="1:8" x14ac:dyDescent="0.25">
      <c r="A133" s="242" t="s">
        <v>300</v>
      </c>
      <c r="B133" s="243"/>
      <c r="C133" s="244"/>
      <c r="D133" s="43"/>
      <c r="E133" s="322" t="str">
        <f>IF(D133="","",IF(D133&lt;24,"Does not meet design criteria",""))</f>
        <v/>
      </c>
      <c r="F133" s="323"/>
      <c r="G133" s="323"/>
      <c r="H133" s="324"/>
    </row>
    <row r="134" spans="1:8" ht="13" x14ac:dyDescent="0.25">
      <c r="A134" s="236" t="s">
        <v>232</v>
      </c>
      <c r="B134" s="237"/>
      <c r="C134" s="237"/>
      <c r="D134" s="237"/>
      <c r="E134" s="237"/>
      <c r="F134" s="237"/>
      <c r="G134" s="237"/>
      <c r="H134" s="238"/>
    </row>
    <row r="135" spans="1:8" ht="13" x14ac:dyDescent="0.25">
      <c r="A135" s="35"/>
      <c r="B135" s="36"/>
      <c r="C135" s="36"/>
      <c r="D135" s="37"/>
      <c r="E135" s="302" t="s">
        <v>256</v>
      </c>
      <c r="F135" s="302"/>
      <c r="G135" s="38" t="s">
        <v>257</v>
      </c>
      <c r="H135" s="38" t="s">
        <v>258</v>
      </c>
    </row>
    <row r="136" spans="1:8" x14ac:dyDescent="0.25">
      <c r="A136" s="289" t="s">
        <v>302</v>
      </c>
      <c r="B136" s="289"/>
      <c r="C136" s="289"/>
      <c r="D136" s="198" t="s">
        <v>303</v>
      </c>
      <c r="E136" s="334" t="str">
        <f>F124</f>
        <v/>
      </c>
      <c r="F136" s="334"/>
      <c r="G136" s="193" t="s">
        <v>2</v>
      </c>
      <c r="H136" s="219"/>
    </row>
    <row r="137" spans="1:8" ht="25" x14ac:dyDescent="0.25">
      <c r="A137" s="289" t="s">
        <v>304</v>
      </c>
      <c r="B137" s="289"/>
      <c r="C137" s="289"/>
      <c r="D137" s="198" t="s">
        <v>305</v>
      </c>
      <c r="E137" s="336"/>
      <c r="F137" s="336"/>
      <c r="G137" s="193" t="s">
        <v>271</v>
      </c>
      <c r="H137" s="219" t="str">
        <f>IF(E137&lt;3,"Does not meet design criteria","")</f>
        <v>Does not meet design criteria</v>
      </c>
    </row>
    <row r="138" spans="1:8" x14ac:dyDescent="0.25">
      <c r="A138" s="266" t="s">
        <v>306</v>
      </c>
      <c r="B138" s="267"/>
      <c r="C138" s="268"/>
      <c r="D138" s="198" t="s">
        <v>307</v>
      </c>
      <c r="E138" s="289">
        <v>1</v>
      </c>
      <c r="F138" s="289"/>
      <c r="G138" s="193" t="s">
        <v>308</v>
      </c>
      <c r="H138" s="219" t="str">
        <f>IF(E138&gt;1,"Sizing as Filter","")</f>
        <v/>
      </c>
    </row>
    <row r="139" spans="1:8" x14ac:dyDescent="0.25">
      <c r="A139" s="289" t="s">
        <v>309</v>
      </c>
      <c r="B139" s="289"/>
      <c r="C139" s="289"/>
      <c r="D139" s="198" t="s">
        <v>310</v>
      </c>
      <c r="E139" s="336"/>
      <c r="F139" s="336"/>
      <c r="G139" s="193" t="s">
        <v>271</v>
      </c>
      <c r="H139" s="219" t="str">
        <f>IF(E139&gt;0.5,"Does not meet sizing criteria","")</f>
        <v/>
      </c>
    </row>
    <row r="140" spans="1:8" x14ac:dyDescent="0.25">
      <c r="A140" s="289" t="s">
        <v>311</v>
      </c>
      <c r="B140" s="289"/>
      <c r="C140" s="289"/>
      <c r="D140" s="198" t="s">
        <v>312</v>
      </c>
      <c r="E140" s="289">
        <v>2</v>
      </c>
      <c r="F140" s="289"/>
      <c r="G140" s="193" t="s">
        <v>313</v>
      </c>
      <c r="H140" s="219"/>
    </row>
    <row r="141" spans="1:8" x14ac:dyDescent="0.25">
      <c r="A141" s="266" t="s">
        <v>314</v>
      </c>
      <c r="B141" s="267"/>
      <c r="C141" s="268"/>
      <c r="D141" s="198" t="s">
        <v>315</v>
      </c>
      <c r="E141" s="308" t="e">
        <f>ROUND((E136*E137)/(E138*(E137+E139)*E140),0)</f>
        <v>#VALUE!</v>
      </c>
      <c r="F141" s="308"/>
      <c r="G141" s="193" t="s">
        <v>316</v>
      </c>
      <c r="H141" s="219"/>
    </row>
    <row r="142" spans="1:8" x14ac:dyDescent="0.25">
      <c r="A142" s="266" t="s">
        <v>317</v>
      </c>
      <c r="B142" s="267"/>
      <c r="C142" s="268"/>
      <c r="D142" s="198" t="s">
        <v>315</v>
      </c>
      <c r="E142" s="336"/>
      <c r="F142" s="336"/>
      <c r="G142" s="193" t="s">
        <v>316</v>
      </c>
      <c r="H142" s="219" t="str">
        <f>IF(E142="","",IF(E142&lt;E141,"Does not meet sizing criteria",""))</f>
        <v/>
      </c>
    </row>
    <row r="143" spans="1:8" ht="13" x14ac:dyDescent="0.25">
      <c r="A143" s="236" t="s">
        <v>276</v>
      </c>
      <c r="B143" s="237"/>
      <c r="C143" s="237"/>
      <c r="D143" s="237"/>
      <c r="E143" s="237"/>
      <c r="F143" s="237"/>
      <c r="G143" s="237"/>
      <c r="H143" s="238"/>
    </row>
    <row r="144" spans="1:8" ht="13" x14ac:dyDescent="0.25">
      <c r="A144" s="335" t="s">
        <v>241</v>
      </c>
      <c r="B144" s="335"/>
      <c r="C144" s="9" t="str">
        <f>IF(A124="","",IF(D126="YES",0,IF(D127&gt;10,0,IF(D128&lt;0.5,0,IF(D129&lt;2,0,IF(D130&lt;2,0,IF(D131&lt;3,0,IF(D132&lt;10,0,IF(D133&lt;24,0,IF(E137&lt;3,0,IF(E139&gt;0.5,0,IF(E142&lt;E141,0,F124*1))))))))))))</f>
        <v/>
      </c>
      <c r="D144" s="310" t="s">
        <v>2</v>
      </c>
      <c r="E144" s="311"/>
      <c r="F144" s="311"/>
      <c r="G144" s="311"/>
      <c r="H144" s="312"/>
    </row>
    <row r="145" spans="1:8" ht="13" x14ac:dyDescent="0.3">
      <c r="A145" s="24" t="s">
        <v>56</v>
      </c>
      <c r="B145" s="23" t="str">
        <f>IF('STEP 2-WQv Calculation'!$B$4="","",'STEP 2-WQv Calculation'!$B$4)</f>
        <v/>
      </c>
      <c r="C145" s="31"/>
      <c r="D145" s="31"/>
      <c r="E145" s="32"/>
      <c r="F145" s="33"/>
      <c r="G145" s="33"/>
      <c r="H145" s="33"/>
    </row>
    <row r="146" spans="1:8" ht="13" x14ac:dyDescent="0.25">
      <c r="A146" s="331" t="s">
        <v>293</v>
      </c>
      <c r="B146" s="332"/>
      <c r="C146" s="332"/>
      <c r="D146" s="332"/>
      <c r="E146" s="332"/>
      <c r="F146" s="332"/>
      <c r="G146" s="332"/>
      <c r="H146" s="333"/>
    </row>
    <row r="147" spans="1:8" ht="38.5" x14ac:dyDescent="0.25">
      <c r="A147" s="204" t="s">
        <v>60</v>
      </c>
      <c r="B147" s="205" t="s">
        <v>61</v>
      </c>
      <c r="C147" s="205" t="s">
        <v>62</v>
      </c>
      <c r="D147" s="205" t="s">
        <v>63</v>
      </c>
      <c r="E147" s="205" t="s">
        <v>64</v>
      </c>
      <c r="F147" s="205" t="s">
        <v>65</v>
      </c>
      <c r="G147" s="205" t="s">
        <v>244</v>
      </c>
      <c r="H147" s="206" t="s">
        <v>13</v>
      </c>
    </row>
    <row r="148" spans="1:8" x14ac:dyDescent="0.25">
      <c r="A148" s="17"/>
      <c r="B148" s="18" t="str">
        <f>IF($A148="","",(LOOKUP($A148,'STEP 2-WQv Calculation'!$A$8:$A$37,'STEP 2-WQv Calculation'!$B$8:$B$37)))</f>
        <v/>
      </c>
      <c r="C148" s="18" t="str">
        <f>IF($A148="","",(LOOKUP($A148,'STEP 2-WQv Calculation'!$A$8:$A$37,'STEP 2-WQv Calculation'!$C$8:$C$37)))</f>
        <v/>
      </c>
      <c r="D148" s="53" t="str">
        <f>IF($A148="","",(LOOKUP($A148,'STEP 2-WQv Calculation'!$A$8:$A$37,'STEP 2-WQv Calculation'!$D$8:$D$37)))</f>
        <v/>
      </c>
      <c r="E148" s="18" t="str">
        <f>IF($A148="","",(LOOKUP($A148,'STEP 2-WQv Calculation'!$A$8:$A$37,'STEP 2-WQv Calculation'!$E$8:$E$37)))</f>
        <v/>
      </c>
      <c r="F148" s="42" t="str">
        <f>IF($A148="","",(LOOKUP($A148,'STEP 2-WQv Calculation'!$A$8:$A$37,'STEP 2-WQv Calculation'!$F$8:$F$37)))</f>
        <v/>
      </c>
      <c r="G148" s="18">
        <f>'STEP 2-WQv Calculation'!B53</f>
        <v>0</v>
      </c>
      <c r="H148" s="29" t="str">
        <f>IF($A148="","",(LOOKUP($A148,'STEP 2-WQv Calculation'!$A$8:$A$37,'STEP 2-WQv Calculation'!$G$8:$G$37)))</f>
        <v/>
      </c>
    </row>
    <row r="149" spans="1:8" ht="13" x14ac:dyDescent="0.3">
      <c r="A149" s="273" t="s">
        <v>226</v>
      </c>
      <c r="B149" s="273"/>
      <c r="C149" s="273"/>
      <c r="D149" s="273"/>
      <c r="E149" s="273"/>
      <c r="F149" s="273"/>
      <c r="G149" s="273"/>
      <c r="H149" s="273"/>
    </row>
    <row r="150" spans="1:8" x14ac:dyDescent="0.25">
      <c r="A150" s="245" t="s">
        <v>247</v>
      </c>
      <c r="B150" s="245"/>
      <c r="C150" s="245"/>
      <c r="D150" s="211"/>
      <c r="E150" s="322" t="str">
        <f>IF(D150="","This practice cannot be used for hotspot treatment",IF(D150="Yes","Does not meet design criteria",""))</f>
        <v>This practice cannot be used for hotspot treatment</v>
      </c>
      <c r="F150" s="323"/>
      <c r="G150" s="323"/>
      <c r="H150" s="324"/>
    </row>
    <row r="151" spans="1:8" x14ac:dyDescent="0.25">
      <c r="A151" s="242" t="s">
        <v>279</v>
      </c>
      <c r="B151" s="243"/>
      <c r="C151" s="244"/>
      <c r="D151" s="211"/>
      <c r="E151" s="322" t="str">
        <f>IF(D151&gt;10,"Does not meet design criteria","")</f>
        <v/>
      </c>
      <c r="F151" s="323"/>
      <c r="G151" s="323"/>
      <c r="H151" s="324"/>
    </row>
    <row r="152" spans="1:8" x14ac:dyDescent="0.25">
      <c r="A152" s="242" t="s">
        <v>295</v>
      </c>
      <c r="B152" s="243"/>
      <c r="C152" s="244"/>
      <c r="D152" s="44"/>
      <c r="E152" s="322" t="str">
        <f>IF(D152="","",IF(D152&lt;0.5,"Does not meet design criteria",""))</f>
        <v/>
      </c>
      <c r="F152" s="323"/>
      <c r="G152" s="323"/>
      <c r="H152" s="324"/>
    </row>
    <row r="153" spans="1:8" x14ac:dyDescent="0.25">
      <c r="A153" s="242" t="s">
        <v>296</v>
      </c>
      <c r="B153" s="243"/>
      <c r="C153" s="244"/>
      <c r="D153" s="43"/>
      <c r="E153" s="322" t="str">
        <f>IF(D153="","",IF(D153&lt;2,"Does not meet design criteria",""))</f>
        <v/>
      </c>
      <c r="F153" s="323"/>
      <c r="G153" s="323"/>
      <c r="H153" s="324"/>
    </row>
    <row r="154" spans="1:8" x14ac:dyDescent="0.25">
      <c r="A154" s="242" t="s">
        <v>297</v>
      </c>
      <c r="B154" s="243"/>
      <c r="C154" s="244"/>
      <c r="D154" s="43"/>
      <c r="E154" s="322" t="str">
        <f>IF(D154="","",IF(D154&lt;2,"Does not meet design criteria",""))</f>
        <v/>
      </c>
      <c r="F154" s="323"/>
      <c r="G154" s="323"/>
      <c r="H154" s="324"/>
    </row>
    <row r="155" spans="1:8" x14ac:dyDescent="0.25">
      <c r="A155" s="242" t="s">
        <v>285</v>
      </c>
      <c r="B155" s="243"/>
      <c r="C155" s="244"/>
      <c r="D155" s="43"/>
      <c r="E155" s="322" t="str">
        <f>IF(D155&gt;3,"Does not meet design criteria","")</f>
        <v/>
      </c>
      <c r="F155" s="323"/>
      <c r="G155" s="323"/>
      <c r="H155" s="324"/>
    </row>
    <row r="156" spans="1:8" x14ac:dyDescent="0.25">
      <c r="A156" s="242" t="s">
        <v>287</v>
      </c>
      <c r="B156" s="243"/>
      <c r="C156" s="244"/>
      <c r="D156" s="43"/>
      <c r="E156" s="322" t="str">
        <f>IF(D156="","",IF(D156&lt;10,"Does not meet design criteria",""))</f>
        <v/>
      </c>
      <c r="F156" s="323"/>
      <c r="G156" s="323"/>
      <c r="H156" s="324"/>
    </row>
    <row r="157" spans="1:8" x14ac:dyDescent="0.25">
      <c r="A157" s="242" t="s">
        <v>300</v>
      </c>
      <c r="B157" s="243"/>
      <c r="C157" s="244"/>
      <c r="D157" s="43"/>
      <c r="E157" s="322" t="str">
        <f>IF(D157="","",IF(D157&lt;24,"Does not meet design criteria",""))</f>
        <v/>
      </c>
      <c r="F157" s="323"/>
      <c r="G157" s="323"/>
      <c r="H157" s="324"/>
    </row>
    <row r="158" spans="1:8" ht="13" x14ac:dyDescent="0.25">
      <c r="A158" s="236" t="s">
        <v>232</v>
      </c>
      <c r="B158" s="237"/>
      <c r="C158" s="237"/>
      <c r="D158" s="237"/>
      <c r="E158" s="237"/>
      <c r="F158" s="237"/>
      <c r="G158" s="237"/>
      <c r="H158" s="238"/>
    </row>
    <row r="159" spans="1:8" ht="13" x14ac:dyDescent="0.25">
      <c r="A159" s="35"/>
      <c r="B159" s="36"/>
      <c r="C159" s="36"/>
      <c r="D159" s="37"/>
      <c r="E159" s="302" t="s">
        <v>256</v>
      </c>
      <c r="F159" s="302"/>
      <c r="G159" s="38" t="s">
        <v>257</v>
      </c>
      <c r="H159" s="38" t="s">
        <v>258</v>
      </c>
    </row>
    <row r="160" spans="1:8" x14ac:dyDescent="0.25">
      <c r="A160" s="289" t="s">
        <v>302</v>
      </c>
      <c r="B160" s="289"/>
      <c r="C160" s="289"/>
      <c r="D160" s="198" t="s">
        <v>303</v>
      </c>
      <c r="E160" s="334" t="str">
        <f>F148</f>
        <v/>
      </c>
      <c r="F160" s="334"/>
      <c r="G160" s="193" t="s">
        <v>2</v>
      </c>
      <c r="H160" s="219"/>
    </row>
    <row r="161" spans="1:8" ht="25" x14ac:dyDescent="0.25">
      <c r="A161" s="289" t="s">
        <v>304</v>
      </c>
      <c r="B161" s="289"/>
      <c r="C161" s="289"/>
      <c r="D161" s="198" t="s">
        <v>305</v>
      </c>
      <c r="E161" s="336"/>
      <c r="F161" s="336"/>
      <c r="G161" s="193" t="s">
        <v>271</v>
      </c>
      <c r="H161" s="219" t="str">
        <f>IF(E161&lt;3,"Does not meet design criteria","")</f>
        <v>Does not meet design criteria</v>
      </c>
    </row>
    <row r="162" spans="1:8" x14ac:dyDescent="0.25">
      <c r="A162" s="266" t="s">
        <v>306</v>
      </c>
      <c r="B162" s="267"/>
      <c r="C162" s="268"/>
      <c r="D162" s="198" t="s">
        <v>307</v>
      </c>
      <c r="E162" s="289">
        <v>1</v>
      </c>
      <c r="F162" s="289"/>
      <c r="G162" s="193" t="s">
        <v>308</v>
      </c>
      <c r="H162" s="219" t="str">
        <f>IF(E162&gt;1,"Sizing as Filter","")</f>
        <v/>
      </c>
    </row>
    <row r="163" spans="1:8" x14ac:dyDescent="0.25">
      <c r="A163" s="289" t="s">
        <v>309</v>
      </c>
      <c r="B163" s="289"/>
      <c r="C163" s="289"/>
      <c r="D163" s="198" t="s">
        <v>310</v>
      </c>
      <c r="E163" s="336"/>
      <c r="F163" s="336"/>
      <c r="G163" s="193" t="s">
        <v>271</v>
      </c>
      <c r="H163" s="219" t="str">
        <f>IF(E163&gt;0.5,"Does not meet sizing criteria","")</f>
        <v/>
      </c>
    </row>
    <row r="164" spans="1:8" x14ac:dyDescent="0.25">
      <c r="A164" s="289" t="s">
        <v>311</v>
      </c>
      <c r="B164" s="289"/>
      <c r="C164" s="289"/>
      <c r="D164" s="198" t="s">
        <v>312</v>
      </c>
      <c r="E164" s="289">
        <v>2</v>
      </c>
      <c r="F164" s="289"/>
      <c r="G164" s="193" t="s">
        <v>313</v>
      </c>
      <c r="H164" s="219"/>
    </row>
    <row r="165" spans="1:8" x14ac:dyDescent="0.25">
      <c r="A165" s="266" t="s">
        <v>314</v>
      </c>
      <c r="B165" s="267"/>
      <c r="C165" s="268"/>
      <c r="D165" s="198" t="s">
        <v>315</v>
      </c>
      <c r="E165" s="308" t="e">
        <f>ROUND((E160*E161)/(E162*(E161+E163)*E164),0)</f>
        <v>#VALUE!</v>
      </c>
      <c r="F165" s="308"/>
      <c r="G165" s="193" t="s">
        <v>316</v>
      </c>
      <c r="H165" s="219"/>
    </row>
    <row r="166" spans="1:8" x14ac:dyDescent="0.25">
      <c r="A166" s="266" t="s">
        <v>317</v>
      </c>
      <c r="B166" s="267"/>
      <c r="C166" s="268"/>
      <c r="D166" s="198" t="s">
        <v>315</v>
      </c>
      <c r="E166" s="336"/>
      <c r="F166" s="336"/>
      <c r="G166" s="193" t="s">
        <v>316</v>
      </c>
      <c r="H166" s="219" t="str">
        <f>IF(E166="","",IF(E166&lt;E165,"Does not meet sizing criteria",""))</f>
        <v/>
      </c>
    </row>
    <row r="167" spans="1:8" ht="13" x14ac:dyDescent="0.25">
      <c r="A167" s="236" t="s">
        <v>276</v>
      </c>
      <c r="B167" s="237"/>
      <c r="C167" s="237"/>
      <c r="D167" s="237"/>
      <c r="E167" s="237"/>
      <c r="F167" s="237"/>
      <c r="G167" s="237"/>
      <c r="H167" s="238"/>
    </row>
    <row r="168" spans="1:8" ht="13" x14ac:dyDescent="0.25">
      <c r="A168" s="335" t="s">
        <v>241</v>
      </c>
      <c r="B168" s="335"/>
      <c r="C168" s="9" t="str">
        <f>IF(A148="","",IF(D150="YES",0,IF(D151&gt;10,0,IF(D152&lt;0.5,0,IF(D153&lt;2,0,IF(D154&lt;2,0,IF(D155&lt;3,0,IF(D156&lt;10,0,IF(D157&lt;24,0,IF(E161&lt;3,0,IF(E163&gt;0.5,0,IF(E166&lt;E165,0,F148*1))))))))))))</f>
        <v/>
      </c>
      <c r="D168" s="310" t="s">
        <v>2</v>
      </c>
      <c r="E168" s="311"/>
      <c r="F168" s="311"/>
      <c r="G168" s="311"/>
      <c r="H168" s="312"/>
    </row>
    <row r="169" spans="1:8" ht="13" x14ac:dyDescent="0.3">
      <c r="A169" s="24" t="s">
        <v>56</v>
      </c>
      <c r="B169" s="23" t="str">
        <f>IF('STEP 2-WQv Calculation'!$B$4="","",'STEP 2-WQv Calculation'!$B$4)</f>
        <v/>
      </c>
      <c r="C169" s="31"/>
      <c r="D169" s="31"/>
      <c r="E169" s="32"/>
      <c r="F169" s="33"/>
      <c r="G169" s="33"/>
      <c r="H169" s="33"/>
    </row>
    <row r="170" spans="1:8" ht="13" x14ac:dyDescent="0.25">
      <c r="A170" s="331" t="s">
        <v>293</v>
      </c>
      <c r="B170" s="332"/>
      <c r="C170" s="332"/>
      <c r="D170" s="332"/>
      <c r="E170" s="332"/>
      <c r="F170" s="332"/>
      <c r="G170" s="332"/>
      <c r="H170" s="333"/>
    </row>
    <row r="171" spans="1:8" ht="38.5" x14ac:dyDescent="0.25">
      <c r="A171" s="204" t="s">
        <v>60</v>
      </c>
      <c r="B171" s="205" t="s">
        <v>61</v>
      </c>
      <c r="C171" s="205" t="s">
        <v>62</v>
      </c>
      <c r="D171" s="205" t="s">
        <v>63</v>
      </c>
      <c r="E171" s="205" t="s">
        <v>64</v>
      </c>
      <c r="F171" s="205" t="s">
        <v>65</v>
      </c>
      <c r="G171" s="205" t="s">
        <v>244</v>
      </c>
      <c r="H171" s="206" t="s">
        <v>13</v>
      </c>
    </row>
    <row r="172" spans="1:8" x14ac:dyDescent="0.25">
      <c r="A172" s="17"/>
      <c r="B172" s="18" t="str">
        <f>IF($A172="","",(LOOKUP($A172,'STEP 2-WQv Calculation'!$A$8:$A$37,'STEP 2-WQv Calculation'!$B$8:$B$37)))</f>
        <v/>
      </c>
      <c r="C172" s="18" t="str">
        <f>IF($A172="","",(LOOKUP($A172,'STEP 2-WQv Calculation'!$A$8:$A$37,'STEP 2-WQv Calculation'!$C$8:$C$37)))</f>
        <v/>
      </c>
      <c r="D172" s="53" t="str">
        <f>IF($A172="","",(LOOKUP($A172,'STEP 2-WQv Calculation'!$A$8:$A$37,'STEP 2-WQv Calculation'!$D$8:$D$37)))</f>
        <v/>
      </c>
      <c r="E172" s="18" t="str">
        <f>IF($A172="","",(LOOKUP($A172,'STEP 2-WQv Calculation'!$A$8:$A$37,'STEP 2-WQv Calculation'!$E$8:$E$37)))</f>
        <v/>
      </c>
      <c r="F172" s="42" t="str">
        <f>IF($A172="","",(LOOKUP($A172,'STEP 2-WQv Calculation'!$A$8:$A$37,'STEP 2-WQv Calculation'!$F$8:$F$37)))</f>
        <v/>
      </c>
      <c r="G172" s="18">
        <f>'STEP 2-WQv Calculation'!B77</f>
        <v>0</v>
      </c>
      <c r="H172" s="29" t="str">
        <f>IF($A172="","",(LOOKUP($A172,'STEP 2-WQv Calculation'!$A$8:$A$37,'STEP 2-WQv Calculation'!$G$8:$G$37)))</f>
        <v/>
      </c>
    </row>
    <row r="173" spans="1:8" ht="13" x14ac:dyDescent="0.3">
      <c r="A173" s="273" t="s">
        <v>226</v>
      </c>
      <c r="B173" s="273"/>
      <c r="C173" s="273"/>
      <c r="D173" s="273"/>
      <c r="E173" s="273"/>
      <c r="F173" s="273"/>
      <c r="G173" s="273"/>
      <c r="H173" s="273"/>
    </row>
    <row r="174" spans="1:8" x14ac:dyDescent="0.25">
      <c r="A174" s="245" t="s">
        <v>247</v>
      </c>
      <c r="B174" s="245"/>
      <c r="C174" s="245"/>
      <c r="D174" s="211"/>
      <c r="E174" s="322" t="str">
        <f>IF(D174="","This practice cannot be used for hotspot treatment",IF(D174="Yes","Does not meet design criteria",""))</f>
        <v>This practice cannot be used for hotspot treatment</v>
      </c>
      <c r="F174" s="323"/>
      <c r="G174" s="323"/>
      <c r="H174" s="324"/>
    </row>
    <row r="175" spans="1:8" x14ac:dyDescent="0.25">
      <c r="A175" s="242" t="s">
        <v>279</v>
      </c>
      <c r="B175" s="243"/>
      <c r="C175" s="244"/>
      <c r="D175" s="211"/>
      <c r="E175" s="322" t="str">
        <f>IF(D175&gt;10,"Does not meet design criteria","")</f>
        <v/>
      </c>
      <c r="F175" s="323"/>
      <c r="G175" s="323"/>
      <c r="H175" s="324"/>
    </row>
    <row r="176" spans="1:8" x14ac:dyDescent="0.25">
      <c r="A176" s="242" t="s">
        <v>295</v>
      </c>
      <c r="B176" s="243"/>
      <c r="C176" s="244"/>
      <c r="D176" s="44"/>
      <c r="E176" s="322" t="str">
        <f>IF(D176="","",IF(D176&lt;0.5,"Does not meet design criteria",""))</f>
        <v/>
      </c>
      <c r="F176" s="323"/>
      <c r="G176" s="323"/>
      <c r="H176" s="324"/>
    </row>
    <row r="177" spans="1:8" x14ac:dyDescent="0.25">
      <c r="A177" s="242" t="s">
        <v>296</v>
      </c>
      <c r="B177" s="243"/>
      <c r="C177" s="244"/>
      <c r="D177" s="43"/>
      <c r="E177" s="322" t="str">
        <f>IF(D177="","",IF(D177&lt;2,"Does not meet design criteria",""))</f>
        <v/>
      </c>
      <c r="F177" s="323"/>
      <c r="G177" s="323"/>
      <c r="H177" s="324"/>
    </row>
    <row r="178" spans="1:8" x14ac:dyDescent="0.25">
      <c r="A178" s="242" t="s">
        <v>297</v>
      </c>
      <c r="B178" s="243"/>
      <c r="C178" s="244"/>
      <c r="D178" s="43"/>
      <c r="E178" s="322" t="str">
        <f>IF(D178="","",IF(D178&lt;2,"Does not meet design criteria",""))</f>
        <v/>
      </c>
      <c r="F178" s="323"/>
      <c r="G178" s="323"/>
      <c r="H178" s="324"/>
    </row>
    <row r="179" spans="1:8" x14ac:dyDescent="0.25">
      <c r="A179" s="242" t="s">
        <v>285</v>
      </c>
      <c r="B179" s="243"/>
      <c r="C179" s="244"/>
      <c r="D179" s="43"/>
      <c r="E179" s="322" t="str">
        <f>IF(D179&gt;3,"Does not meet design criteria","")</f>
        <v/>
      </c>
      <c r="F179" s="323"/>
      <c r="G179" s="323"/>
      <c r="H179" s="324"/>
    </row>
    <row r="180" spans="1:8" x14ac:dyDescent="0.25">
      <c r="A180" s="242" t="s">
        <v>287</v>
      </c>
      <c r="B180" s="243"/>
      <c r="C180" s="244"/>
      <c r="D180" s="43"/>
      <c r="E180" s="322" t="str">
        <f>IF(D180="","",IF(D180&lt;10,"Does not meet design criteria",""))</f>
        <v/>
      </c>
      <c r="F180" s="323"/>
      <c r="G180" s="323"/>
      <c r="H180" s="324"/>
    </row>
    <row r="181" spans="1:8" x14ac:dyDescent="0.25">
      <c r="A181" s="242" t="s">
        <v>300</v>
      </c>
      <c r="B181" s="243"/>
      <c r="C181" s="244"/>
      <c r="D181" s="43"/>
      <c r="E181" s="322" t="str">
        <f>IF(D181="","",IF(D181&lt;24,"Does not meet design criteria",""))</f>
        <v/>
      </c>
      <c r="F181" s="323"/>
      <c r="G181" s="323"/>
      <c r="H181" s="324"/>
    </row>
    <row r="182" spans="1:8" ht="13" x14ac:dyDescent="0.25">
      <c r="A182" s="236" t="s">
        <v>232</v>
      </c>
      <c r="B182" s="237"/>
      <c r="C182" s="237"/>
      <c r="D182" s="237"/>
      <c r="E182" s="237"/>
      <c r="F182" s="237"/>
      <c r="G182" s="237"/>
      <c r="H182" s="238"/>
    </row>
    <row r="183" spans="1:8" ht="13" x14ac:dyDescent="0.25">
      <c r="A183" s="35"/>
      <c r="B183" s="36"/>
      <c r="C183" s="36"/>
      <c r="D183" s="37"/>
      <c r="E183" s="302" t="s">
        <v>256</v>
      </c>
      <c r="F183" s="302"/>
      <c r="G183" s="38" t="s">
        <v>257</v>
      </c>
      <c r="H183" s="38" t="s">
        <v>258</v>
      </c>
    </row>
    <row r="184" spans="1:8" x14ac:dyDescent="0.25">
      <c r="A184" s="289" t="s">
        <v>302</v>
      </c>
      <c r="B184" s="289"/>
      <c r="C184" s="289"/>
      <c r="D184" s="198" t="s">
        <v>303</v>
      </c>
      <c r="E184" s="334" t="str">
        <f>F172</f>
        <v/>
      </c>
      <c r="F184" s="334"/>
      <c r="G184" s="193" t="s">
        <v>2</v>
      </c>
      <c r="H184" s="219"/>
    </row>
    <row r="185" spans="1:8" ht="25" x14ac:dyDescent="0.25">
      <c r="A185" s="289" t="s">
        <v>304</v>
      </c>
      <c r="B185" s="289"/>
      <c r="C185" s="289"/>
      <c r="D185" s="198" t="s">
        <v>305</v>
      </c>
      <c r="E185" s="336"/>
      <c r="F185" s="336"/>
      <c r="G185" s="193" t="s">
        <v>271</v>
      </c>
      <c r="H185" s="219" t="str">
        <f>IF(E185&lt;3,"Does not meet design criteria","")</f>
        <v>Does not meet design criteria</v>
      </c>
    </row>
    <row r="186" spans="1:8" x14ac:dyDescent="0.25">
      <c r="A186" s="266" t="s">
        <v>306</v>
      </c>
      <c r="B186" s="267"/>
      <c r="C186" s="268"/>
      <c r="D186" s="198" t="s">
        <v>307</v>
      </c>
      <c r="E186" s="289">
        <v>1</v>
      </c>
      <c r="F186" s="289"/>
      <c r="G186" s="193" t="s">
        <v>308</v>
      </c>
      <c r="H186" s="219" t="str">
        <f>IF(E186&gt;1,"Sizing as Filter","")</f>
        <v/>
      </c>
    </row>
    <row r="187" spans="1:8" x14ac:dyDescent="0.25">
      <c r="A187" s="289" t="s">
        <v>309</v>
      </c>
      <c r="B187" s="289"/>
      <c r="C187" s="289"/>
      <c r="D187" s="198" t="s">
        <v>310</v>
      </c>
      <c r="E187" s="336"/>
      <c r="F187" s="336"/>
      <c r="G187" s="193" t="s">
        <v>271</v>
      </c>
      <c r="H187" s="219" t="str">
        <f>IF(E187&gt;0.5,"Does not meet sizing criteria","")</f>
        <v/>
      </c>
    </row>
    <row r="188" spans="1:8" x14ac:dyDescent="0.25">
      <c r="A188" s="289" t="s">
        <v>311</v>
      </c>
      <c r="B188" s="289"/>
      <c r="C188" s="289"/>
      <c r="D188" s="198" t="s">
        <v>312</v>
      </c>
      <c r="E188" s="289">
        <v>2</v>
      </c>
      <c r="F188" s="289"/>
      <c r="G188" s="193" t="s">
        <v>313</v>
      </c>
      <c r="H188" s="219"/>
    </row>
    <row r="189" spans="1:8" x14ac:dyDescent="0.25">
      <c r="A189" s="266" t="s">
        <v>314</v>
      </c>
      <c r="B189" s="267"/>
      <c r="C189" s="268"/>
      <c r="D189" s="198" t="s">
        <v>315</v>
      </c>
      <c r="E189" s="308" t="e">
        <f>ROUND((E184*E185)/(E186*(E185+E187)*E188),0)</f>
        <v>#VALUE!</v>
      </c>
      <c r="F189" s="308"/>
      <c r="G189" s="193" t="s">
        <v>316</v>
      </c>
      <c r="H189" s="219"/>
    </row>
    <row r="190" spans="1:8" x14ac:dyDescent="0.25">
      <c r="A190" s="266" t="s">
        <v>317</v>
      </c>
      <c r="B190" s="267"/>
      <c r="C190" s="268"/>
      <c r="D190" s="198" t="s">
        <v>315</v>
      </c>
      <c r="E190" s="336"/>
      <c r="F190" s="336"/>
      <c r="G190" s="193" t="s">
        <v>316</v>
      </c>
      <c r="H190" s="219" t="str">
        <f>IF(E190="","",IF(E190&lt;E189,"Does not meet sizing criteria",""))</f>
        <v/>
      </c>
    </row>
    <row r="191" spans="1:8" ht="13" x14ac:dyDescent="0.25">
      <c r="A191" s="236" t="s">
        <v>276</v>
      </c>
      <c r="B191" s="237"/>
      <c r="C191" s="237"/>
      <c r="D191" s="237"/>
      <c r="E191" s="237"/>
      <c r="F191" s="237"/>
      <c r="G191" s="237"/>
      <c r="H191" s="238"/>
    </row>
    <row r="192" spans="1:8" ht="13" x14ac:dyDescent="0.25">
      <c r="A192" s="335" t="s">
        <v>241</v>
      </c>
      <c r="B192" s="335"/>
      <c r="C192" s="9" t="str">
        <f>IF(A172="","",IF(D174="YES",0,IF(D175&gt;10,0,IF(D176&lt;0.5,0,IF(D177&lt;2,0,IF(D178&lt;2,0,IF(D179&lt;3,0,IF(D180&lt;10,0,IF(D181&lt;24,0,IF(E185&lt;3,0,IF(E187&gt;0.5,0,IF(E190&lt;E189,0,F172*1))))))))))))</f>
        <v/>
      </c>
      <c r="D192" s="310" t="s">
        <v>2</v>
      </c>
      <c r="E192" s="311"/>
      <c r="F192" s="311"/>
      <c r="G192" s="311"/>
      <c r="H192" s="312"/>
    </row>
    <row r="193" spans="1:8" ht="13" x14ac:dyDescent="0.3">
      <c r="A193" s="24" t="s">
        <v>56</v>
      </c>
      <c r="B193" s="23" t="str">
        <f>IF('STEP 2-WQv Calculation'!$B$4="","",'STEP 2-WQv Calculation'!$B$4)</f>
        <v/>
      </c>
      <c r="C193" s="31"/>
      <c r="D193" s="31"/>
      <c r="E193" s="32"/>
      <c r="F193" s="33"/>
      <c r="G193" s="33"/>
      <c r="H193" s="33"/>
    </row>
    <row r="194" spans="1:8" ht="13" x14ac:dyDescent="0.25">
      <c r="A194" s="331" t="s">
        <v>293</v>
      </c>
      <c r="B194" s="332"/>
      <c r="C194" s="332"/>
      <c r="D194" s="332"/>
      <c r="E194" s="332"/>
      <c r="F194" s="332"/>
      <c r="G194" s="332"/>
      <c r="H194" s="333"/>
    </row>
    <row r="195" spans="1:8" ht="38.5" x14ac:dyDescent="0.25">
      <c r="A195" s="204" t="s">
        <v>60</v>
      </c>
      <c r="B195" s="205" t="s">
        <v>61</v>
      </c>
      <c r="C195" s="205" t="s">
        <v>62</v>
      </c>
      <c r="D195" s="205" t="s">
        <v>63</v>
      </c>
      <c r="E195" s="205" t="s">
        <v>64</v>
      </c>
      <c r="F195" s="205" t="s">
        <v>65</v>
      </c>
      <c r="G195" s="205" t="s">
        <v>244</v>
      </c>
      <c r="H195" s="206" t="s">
        <v>13</v>
      </c>
    </row>
    <row r="196" spans="1:8" x14ac:dyDescent="0.25">
      <c r="A196" s="17"/>
      <c r="B196" s="18" t="str">
        <f>IF($A196="","",(LOOKUP($A196,'STEP 2-WQv Calculation'!$A$8:$A$37,'STEP 2-WQv Calculation'!$B$8:$B$37)))</f>
        <v/>
      </c>
      <c r="C196" s="18" t="str">
        <f>IF($A196="","",(LOOKUP($A196,'STEP 2-WQv Calculation'!$A$8:$A$37,'STEP 2-WQv Calculation'!$C$8:$C$37)))</f>
        <v/>
      </c>
      <c r="D196" s="53" t="str">
        <f>IF($A196="","",(LOOKUP($A196,'STEP 2-WQv Calculation'!$A$8:$A$37,'STEP 2-WQv Calculation'!$D$8:$D$37)))</f>
        <v/>
      </c>
      <c r="E196" s="18" t="str">
        <f>IF($A196="","",(LOOKUP($A196,'STEP 2-WQv Calculation'!$A$8:$A$37,'STEP 2-WQv Calculation'!$E$8:$E$37)))</f>
        <v/>
      </c>
      <c r="F196" s="42" t="str">
        <f>IF($A196="","",(LOOKUP($A196,'STEP 2-WQv Calculation'!$A$8:$A$37,'STEP 2-WQv Calculation'!$F$8:$F$37)))</f>
        <v/>
      </c>
      <c r="G196" s="18">
        <f>'STEP 2-WQv Calculation'!B101</f>
        <v>0</v>
      </c>
      <c r="H196" s="29" t="str">
        <f>IF($A196="","",(LOOKUP($A196,'STEP 2-WQv Calculation'!$A$8:$A$37,'STEP 2-WQv Calculation'!$G$8:$G$37)))</f>
        <v/>
      </c>
    </row>
    <row r="197" spans="1:8" ht="13" x14ac:dyDescent="0.3">
      <c r="A197" s="273" t="s">
        <v>226</v>
      </c>
      <c r="B197" s="273"/>
      <c r="C197" s="273"/>
      <c r="D197" s="273"/>
      <c r="E197" s="273"/>
      <c r="F197" s="273"/>
      <c r="G197" s="273"/>
      <c r="H197" s="273"/>
    </row>
    <row r="198" spans="1:8" x14ac:dyDescent="0.25">
      <c r="A198" s="245" t="s">
        <v>247</v>
      </c>
      <c r="B198" s="245"/>
      <c r="C198" s="245"/>
      <c r="D198" s="211"/>
      <c r="E198" s="322" t="str">
        <f>IF(D198="","This practice cannot be used for hotspot treatment",IF(D198="Yes","Does not meet design criteria",""))</f>
        <v>This practice cannot be used for hotspot treatment</v>
      </c>
      <c r="F198" s="323"/>
      <c r="G198" s="323"/>
      <c r="H198" s="324"/>
    </row>
    <row r="199" spans="1:8" x14ac:dyDescent="0.25">
      <c r="A199" s="242" t="s">
        <v>279</v>
      </c>
      <c r="B199" s="243"/>
      <c r="C199" s="244"/>
      <c r="D199" s="211"/>
      <c r="E199" s="322" t="str">
        <f>IF(D199&gt;10,"Does not meet design criteria","")</f>
        <v/>
      </c>
      <c r="F199" s="323"/>
      <c r="G199" s="323"/>
      <c r="H199" s="324"/>
    </row>
    <row r="200" spans="1:8" x14ac:dyDescent="0.25">
      <c r="A200" s="242" t="s">
        <v>295</v>
      </c>
      <c r="B200" s="243"/>
      <c r="C200" s="244"/>
      <c r="D200" s="44"/>
      <c r="E200" s="322" t="str">
        <f>IF(D200="","",IF(D200&lt;0.5,"Does not meet design criteria",""))</f>
        <v/>
      </c>
      <c r="F200" s="323"/>
      <c r="G200" s="323"/>
      <c r="H200" s="324"/>
    </row>
    <row r="201" spans="1:8" x14ac:dyDescent="0.25">
      <c r="A201" s="242" t="s">
        <v>296</v>
      </c>
      <c r="B201" s="243"/>
      <c r="C201" s="244"/>
      <c r="D201" s="43"/>
      <c r="E201" s="322" t="str">
        <f>IF(D201="","",IF(D201&lt;2,"Does not meet design criteria",""))</f>
        <v/>
      </c>
      <c r="F201" s="323"/>
      <c r="G201" s="323"/>
      <c r="H201" s="324"/>
    </row>
    <row r="202" spans="1:8" x14ac:dyDescent="0.25">
      <c r="A202" s="242" t="s">
        <v>297</v>
      </c>
      <c r="B202" s="243"/>
      <c r="C202" s="244"/>
      <c r="D202" s="43"/>
      <c r="E202" s="322" t="str">
        <f>IF(D202="","",IF(D202&lt;2,"Does not meet design criteria",""))</f>
        <v/>
      </c>
      <c r="F202" s="323"/>
      <c r="G202" s="323"/>
      <c r="H202" s="324"/>
    </row>
    <row r="203" spans="1:8" x14ac:dyDescent="0.25">
      <c r="A203" s="242" t="s">
        <v>285</v>
      </c>
      <c r="B203" s="243"/>
      <c r="C203" s="244"/>
      <c r="D203" s="43"/>
      <c r="E203" s="322" t="str">
        <f>IF(D203&gt;3,"Does not meet design criteria","")</f>
        <v/>
      </c>
      <c r="F203" s="323"/>
      <c r="G203" s="323"/>
      <c r="H203" s="324"/>
    </row>
    <row r="204" spans="1:8" x14ac:dyDescent="0.25">
      <c r="A204" s="242" t="s">
        <v>287</v>
      </c>
      <c r="B204" s="243"/>
      <c r="C204" s="244"/>
      <c r="D204" s="43"/>
      <c r="E204" s="322" t="str">
        <f>IF(D204="","",IF(D204&lt;10,"Does not meet design criteria",""))</f>
        <v/>
      </c>
      <c r="F204" s="323"/>
      <c r="G204" s="323"/>
      <c r="H204" s="324"/>
    </row>
    <row r="205" spans="1:8" x14ac:dyDescent="0.25">
      <c r="A205" s="242" t="s">
        <v>300</v>
      </c>
      <c r="B205" s="243"/>
      <c r="C205" s="244"/>
      <c r="D205" s="43"/>
      <c r="E205" s="322" t="str">
        <f>IF(D205="","",IF(D205&lt;24,"Does not meet design criteria",""))</f>
        <v/>
      </c>
      <c r="F205" s="323"/>
      <c r="G205" s="323"/>
      <c r="H205" s="324"/>
    </row>
    <row r="206" spans="1:8" ht="13" x14ac:dyDescent="0.25">
      <c r="A206" s="236" t="s">
        <v>232</v>
      </c>
      <c r="B206" s="237"/>
      <c r="C206" s="237"/>
      <c r="D206" s="237"/>
      <c r="E206" s="237"/>
      <c r="F206" s="237"/>
      <c r="G206" s="237"/>
      <c r="H206" s="238"/>
    </row>
    <row r="207" spans="1:8" ht="13" x14ac:dyDescent="0.25">
      <c r="A207" s="35"/>
      <c r="B207" s="36"/>
      <c r="C207" s="36"/>
      <c r="D207" s="37"/>
      <c r="E207" s="302" t="s">
        <v>256</v>
      </c>
      <c r="F207" s="302"/>
      <c r="G207" s="38" t="s">
        <v>257</v>
      </c>
      <c r="H207" s="38" t="s">
        <v>258</v>
      </c>
    </row>
    <row r="208" spans="1:8" x14ac:dyDescent="0.25">
      <c r="A208" s="289" t="s">
        <v>302</v>
      </c>
      <c r="B208" s="289"/>
      <c r="C208" s="289"/>
      <c r="D208" s="198" t="s">
        <v>303</v>
      </c>
      <c r="E208" s="334" t="str">
        <f>F196</f>
        <v/>
      </c>
      <c r="F208" s="334"/>
      <c r="G208" s="193" t="s">
        <v>2</v>
      </c>
      <c r="H208" s="219"/>
    </row>
    <row r="209" spans="1:8" ht="25" x14ac:dyDescent="0.25">
      <c r="A209" s="289" t="s">
        <v>304</v>
      </c>
      <c r="B209" s="289"/>
      <c r="C209" s="289"/>
      <c r="D209" s="198" t="s">
        <v>305</v>
      </c>
      <c r="E209" s="336"/>
      <c r="F209" s="336"/>
      <c r="G209" s="193" t="s">
        <v>271</v>
      </c>
      <c r="H209" s="219" t="str">
        <f>IF(E209&lt;3,"Does not meet design criteria","")</f>
        <v>Does not meet design criteria</v>
      </c>
    </row>
    <row r="210" spans="1:8" x14ac:dyDescent="0.25">
      <c r="A210" s="266" t="s">
        <v>306</v>
      </c>
      <c r="B210" s="267"/>
      <c r="C210" s="268"/>
      <c r="D210" s="198" t="s">
        <v>307</v>
      </c>
      <c r="E210" s="289">
        <v>1</v>
      </c>
      <c r="F210" s="289"/>
      <c r="G210" s="193" t="s">
        <v>308</v>
      </c>
      <c r="H210" s="219" t="str">
        <f>IF(E210&gt;1,"Sizing as Filter","")</f>
        <v/>
      </c>
    </row>
    <row r="211" spans="1:8" x14ac:dyDescent="0.25">
      <c r="A211" s="289" t="s">
        <v>309</v>
      </c>
      <c r="B211" s="289"/>
      <c r="C211" s="289"/>
      <c r="D211" s="198" t="s">
        <v>310</v>
      </c>
      <c r="E211" s="336"/>
      <c r="F211" s="336"/>
      <c r="G211" s="193" t="s">
        <v>271</v>
      </c>
      <c r="H211" s="219" t="str">
        <f>IF(E211&gt;0.5,"Does not meet sizing criteria","")</f>
        <v/>
      </c>
    </row>
    <row r="212" spans="1:8" x14ac:dyDescent="0.25">
      <c r="A212" s="289" t="s">
        <v>311</v>
      </c>
      <c r="B212" s="289"/>
      <c r="C212" s="289"/>
      <c r="D212" s="198" t="s">
        <v>312</v>
      </c>
      <c r="E212" s="289">
        <v>2</v>
      </c>
      <c r="F212" s="289"/>
      <c r="G212" s="193" t="s">
        <v>313</v>
      </c>
      <c r="H212" s="219"/>
    </row>
    <row r="213" spans="1:8" x14ac:dyDescent="0.25">
      <c r="A213" s="266" t="s">
        <v>314</v>
      </c>
      <c r="B213" s="267"/>
      <c r="C213" s="268"/>
      <c r="D213" s="198" t="s">
        <v>315</v>
      </c>
      <c r="E213" s="308" t="e">
        <f>ROUND((E208*E209)/(E210*(E209+E211)*E212),0)</f>
        <v>#VALUE!</v>
      </c>
      <c r="F213" s="308"/>
      <c r="G213" s="193" t="s">
        <v>316</v>
      </c>
      <c r="H213" s="219"/>
    </row>
    <row r="214" spans="1:8" x14ac:dyDescent="0.25">
      <c r="A214" s="266" t="s">
        <v>317</v>
      </c>
      <c r="B214" s="267"/>
      <c r="C214" s="268"/>
      <c r="D214" s="198" t="s">
        <v>315</v>
      </c>
      <c r="E214" s="336"/>
      <c r="F214" s="336"/>
      <c r="G214" s="193" t="s">
        <v>316</v>
      </c>
      <c r="H214" s="219" t="str">
        <f>IF(E214="","",IF(E214&lt;E213,"Does not meet sizing criteria",""))</f>
        <v/>
      </c>
    </row>
    <row r="215" spans="1:8" ht="13" x14ac:dyDescent="0.25">
      <c r="A215" s="236" t="s">
        <v>276</v>
      </c>
      <c r="B215" s="237"/>
      <c r="C215" s="237"/>
      <c r="D215" s="237"/>
      <c r="E215" s="237"/>
      <c r="F215" s="237"/>
      <c r="G215" s="237"/>
      <c r="H215" s="238"/>
    </row>
    <row r="216" spans="1:8" ht="13" x14ac:dyDescent="0.25">
      <c r="A216" s="335" t="s">
        <v>241</v>
      </c>
      <c r="B216" s="335"/>
      <c r="C216" s="9" t="str">
        <f>IF(A196="","",IF(D198="YES",0,IF(D199&gt;10,0,IF(D200&lt;0.5,0,IF(D201&lt;2,0,IF(D202&lt;2,0,IF(D203&lt;3,0,IF(D204&lt;10,0,IF(D205&lt;24,0,IF(E209&lt;3,0,IF(E211&gt;0.5,0,IF(E214&lt;E213,0,F196*1))))))))))))</f>
        <v/>
      </c>
      <c r="D216" s="310" t="s">
        <v>2</v>
      </c>
      <c r="E216" s="311"/>
      <c r="F216" s="311"/>
      <c r="G216" s="311"/>
      <c r="H216" s="312"/>
    </row>
    <row r="217" spans="1:8" ht="13" x14ac:dyDescent="0.3">
      <c r="A217" s="24" t="s">
        <v>56</v>
      </c>
      <c r="B217" s="23" t="str">
        <f>IF('STEP 2-WQv Calculation'!$B$4="","",'STEP 2-WQv Calculation'!$B$4)</f>
        <v/>
      </c>
      <c r="C217" s="31"/>
      <c r="D217" s="31"/>
      <c r="E217" s="32"/>
      <c r="F217" s="33"/>
      <c r="G217" s="33"/>
      <c r="H217" s="33"/>
    </row>
    <row r="218" spans="1:8" ht="13" x14ac:dyDescent="0.25">
      <c r="A218" s="331" t="s">
        <v>293</v>
      </c>
      <c r="B218" s="332"/>
      <c r="C218" s="332"/>
      <c r="D218" s="332"/>
      <c r="E218" s="332"/>
      <c r="F218" s="332"/>
      <c r="G218" s="332"/>
      <c r="H218" s="333"/>
    </row>
    <row r="219" spans="1:8" ht="38.5" x14ac:dyDescent="0.25">
      <c r="A219" s="204" t="s">
        <v>60</v>
      </c>
      <c r="B219" s="205" t="s">
        <v>61</v>
      </c>
      <c r="C219" s="205" t="s">
        <v>62</v>
      </c>
      <c r="D219" s="205" t="s">
        <v>63</v>
      </c>
      <c r="E219" s="205" t="s">
        <v>64</v>
      </c>
      <c r="F219" s="205" t="s">
        <v>65</v>
      </c>
      <c r="G219" s="205" t="s">
        <v>244</v>
      </c>
      <c r="H219" s="206" t="s">
        <v>13</v>
      </c>
    </row>
    <row r="220" spans="1:8" x14ac:dyDescent="0.25">
      <c r="A220" s="17"/>
      <c r="B220" s="18" t="str">
        <f>IF($A220="","",(LOOKUP($A220,'STEP 2-WQv Calculation'!$A$8:$A$37,'STEP 2-WQv Calculation'!$B$8:$B$37)))</f>
        <v/>
      </c>
      <c r="C220" s="18" t="str">
        <f>IF($A220="","",(LOOKUP($A220,'STEP 2-WQv Calculation'!$A$8:$A$37,'STEP 2-WQv Calculation'!$C$8:$C$37)))</f>
        <v/>
      </c>
      <c r="D220" s="53" t="str">
        <f>IF($A220="","",(LOOKUP($A220,'STEP 2-WQv Calculation'!$A$8:$A$37,'STEP 2-WQv Calculation'!$D$8:$D$37)))</f>
        <v/>
      </c>
      <c r="E220" s="18" t="str">
        <f>IF($A220="","",(LOOKUP($A220,'STEP 2-WQv Calculation'!$A$8:$A$37,'STEP 2-WQv Calculation'!$E$8:$E$37)))</f>
        <v/>
      </c>
      <c r="F220" s="42" t="str">
        <f>IF($A220="","",(LOOKUP($A220,'STEP 2-WQv Calculation'!$A$8:$A$37,'STEP 2-WQv Calculation'!$F$8:$F$37)))</f>
        <v/>
      </c>
      <c r="G220" s="18">
        <f>'STEP 2-WQv Calculation'!B125</f>
        <v>0</v>
      </c>
      <c r="H220" s="29" t="str">
        <f>IF($A220="","",(LOOKUP($A220,'STEP 2-WQv Calculation'!$A$8:$A$37,'STEP 2-WQv Calculation'!$G$8:$G$37)))</f>
        <v/>
      </c>
    </row>
    <row r="221" spans="1:8" ht="13" x14ac:dyDescent="0.3">
      <c r="A221" s="273" t="s">
        <v>226</v>
      </c>
      <c r="B221" s="273"/>
      <c r="C221" s="273"/>
      <c r="D221" s="273"/>
      <c r="E221" s="273"/>
      <c r="F221" s="273"/>
      <c r="G221" s="273"/>
      <c r="H221" s="273"/>
    </row>
    <row r="222" spans="1:8" x14ac:dyDescent="0.25">
      <c r="A222" s="245" t="s">
        <v>247</v>
      </c>
      <c r="B222" s="245"/>
      <c r="C222" s="245"/>
      <c r="D222" s="211"/>
      <c r="E222" s="322" t="str">
        <f>IF(D222="","This practice cannot be used for hotspot treatment",IF(D222="Yes","Does not meet design criteria",""))</f>
        <v>This practice cannot be used for hotspot treatment</v>
      </c>
      <c r="F222" s="323"/>
      <c r="G222" s="323"/>
      <c r="H222" s="324"/>
    </row>
    <row r="223" spans="1:8" x14ac:dyDescent="0.25">
      <c r="A223" s="242" t="s">
        <v>279</v>
      </c>
      <c r="B223" s="243"/>
      <c r="C223" s="244"/>
      <c r="D223" s="211"/>
      <c r="E223" s="322" t="str">
        <f>IF(D223&gt;10,"Does not meet design criteria","")</f>
        <v/>
      </c>
      <c r="F223" s="323"/>
      <c r="G223" s="323"/>
      <c r="H223" s="324"/>
    </row>
    <row r="224" spans="1:8" x14ac:dyDescent="0.25">
      <c r="A224" s="242" t="s">
        <v>295</v>
      </c>
      <c r="B224" s="243"/>
      <c r="C224" s="244"/>
      <c r="D224" s="44"/>
      <c r="E224" s="322" t="str">
        <f>IF(D224="","",IF(D224&lt;0.5,"Does not meet design criteria",""))</f>
        <v/>
      </c>
      <c r="F224" s="323"/>
      <c r="G224" s="323"/>
      <c r="H224" s="324"/>
    </row>
    <row r="225" spans="1:8" x14ac:dyDescent="0.25">
      <c r="A225" s="242" t="s">
        <v>296</v>
      </c>
      <c r="B225" s="243"/>
      <c r="C225" s="244"/>
      <c r="D225" s="43"/>
      <c r="E225" s="322" t="str">
        <f>IF(D225="","",IF(D225&lt;2,"Does not meet design criteria",""))</f>
        <v/>
      </c>
      <c r="F225" s="323"/>
      <c r="G225" s="323"/>
      <c r="H225" s="324"/>
    </row>
    <row r="226" spans="1:8" x14ac:dyDescent="0.25">
      <c r="A226" s="242" t="s">
        <v>297</v>
      </c>
      <c r="B226" s="243"/>
      <c r="C226" s="244"/>
      <c r="D226" s="43"/>
      <c r="E226" s="322" t="str">
        <f>IF(D226="","",IF(D226&lt;2,"Does not meet design criteria",""))</f>
        <v/>
      </c>
      <c r="F226" s="323"/>
      <c r="G226" s="323"/>
      <c r="H226" s="324"/>
    </row>
    <row r="227" spans="1:8" x14ac:dyDescent="0.25">
      <c r="A227" s="242" t="s">
        <v>285</v>
      </c>
      <c r="B227" s="243"/>
      <c r="C227" s="244"/>
      <c r="D227" s="43"/>
      <c r="E227" s="322" t="str">
        <f>IF(D227&gt;3,"Does not meet design criteria","")</f>
        <v/>
      </c>
      <c r="F227" s="323"/>
      <c r="G227" s="323"/>
      <c r="H227" s="324"/>
    </row>
    <row r="228" spans="1:8" x14ac:dyDescent="0.25">
      <c r="A228" s="242" t="s">
        <v>287</v>
      </c>
      <c r="B228" s="243"/>
      <c r="C228" s="244"/>
      <c r="D228" s="43"/>
      <c r="E228" s="322" t="str">
        <f>IF(D228="","",IF(D228&lt;10,"Does not meet design criteria",""))</f>
        <v/>
      </c>
      <c r="F228" s="323"/>
      <c r="G228" s="323"/>
      <c r="H228" s="324"/>
    </row>
    <row r="229" spans="1:8" x14ac:dyDescent="0.25">
      <c r="A229" s="242" t="s">
        <v>300</v>
      </c>
      <c r="B229" s="243"/>
      <c r="C229" s="244"/>
      <c r="D229" s="43"/>
      <c r="E229" s="322" t="str">
        <f>IF(D229="","",IF(D229&lt;24,"Does not meet design criteria",""))</f>
        <v/>
      </c>
      <c r="F229" s="323"/>
      <c r="G229" s="323"/>
      <c r="H229" s="324"/>
    </row>
    <row r="230" spans="1:8" ht="13" x14ac:dyDescent="0.25">
      <c r="A230" s="236" t="s">
        <v>232</v>
      </c>
      <c r="B230" s="237"/>
      <c r="C230" s="237"/>
      <c r="D230" s="237"/>
      <c r="E230" s="237"/>
      <c r="F230" s="237"/>
      <c r="G230" s="237"/>
      <c r="H230" s="238"/>
    </row>
    <row r="231" spans="1:8" ht="13" x14ac:dyDescent="0.25">
      <c r="A231" s="35"/>
      <c r="B231" s="36"/>
      <c r="C231" s="36"/>
      <c r="D231" s="37"/>
      <c r="E231" s="302" t="s">
        <v>256</v>
      </c>
      <c r="F231" s="302"/>
      <c r="G231" s="38" t="s">
        <v>257</v>
      </c>
      <c r="H231" s="38" t="s">
        <v>258</v>
      </c>
    </row>
    <row r="232" spans="1:8" x14ac:dyDescent="0.25">
      <c r="A232" s="289" t="s">
        <v>302</v>
      </c>
      <c r="B232" s="289"/>
      <c r="C232" s="289"/>
      <c r="D232" s="198" t="s">
        <v>303</v>
      </c>
      <c r="E232" s="334" t="str">
        <f>F220</f>
        <v/>
      </c>
      <c r="F232" s="334"/>
      <c r="G232" s="193" t="s">
        <v>2</v>
      </c>
      <c r="H232" s="219"/>
    </row>
    <row r="233" spans="1:8" ht="25" x14ac:dyDescent="0.25">
      <c r="A233" s="289" t="s">
        <v>304</v>
      </c>
      <c r="B233" s="289"/>
      <c r="C233" s="289"/>
      <c r="D233" s="198" t="s">
        <v>305</v>
      </c>
      <c r="E233" s="336"/>
      <c r="F233" s="336"/>
      <c r="G233" s="193" t="s">
        <v>271</v>
      </c>
      <c r="H233" s="219" t="str">
        <f>IF(E233&lt;3,"Does not meet design criteria","")</f>
        <v>Does not meet design criteria</v>
      </c>
    </row>
    <row r="234" spans="1:8" x14ac:dyDescent="0.25">
      <c r="A234" s="266" t="s">
        <v>306</v>
      </c>
      <c r="B234" s="267"/>
      <c r="C234" s="268"/>
      <c r="D234" s="198" t="s">
        <v>307</v>
      </c>
      <c r="E234" s="289">
        <v>1</v>
      </c>
      <c r="F234" s="289"/>
      <c r="G234" s="193" t="s">
        <v>308</v>
      </c>
      <c r="H234" s="219" t="str">
        <f>IF(E234&gt;1,"Sizing as Filter","")</f>
        <v/>
      </c>
    </row>
    <row r="235" spans="1:8" x14ac:dyDescent="0.25">
      <c r="A235" s="289" t="s">
        <v>309</v>
      </c>
      <c r="B235" s="289"/>
      <c r="C235" s="289"/>
      <c r="D235" s="198" t="s">
        <v>310</v>
      </c>
      <c r="E235" s="336"/>
      <c r="F235" s="336"/>
      <c r="G235" s="193" t="s">
        <v>271</v>
      </c>
      <c r="H235" s="219" t="str">
        <f>IF(E235&gt;0.5,"Does not meet sizing criteria","")</f>
        <v/>
      </c>
    </row>
    <row r="236" spans="1:8" x14ac:dyDescent="0.25">
      <c r="A236" s="289" t="s">
        <v>311</v>
      </c>
      <c r="B236" s="289"/>
      <c r="C236" s="289"/>
      <c r="D236" s="198" t="s">
        <v>312</v>
      </c>
      <c r="E236" s="289">
        <v>2</v>
      </c>
      <c r="F236" s="289"/>
      <c r="G236" s="193" t="s">
        <v>313</v>
      </c>
      <c r="H236" s="219"/>
    </row>
    <row r="237" spans="1:8" x14ac:dyDescent="0.25">
      <c r="A237" s="266" t="s">
        <v>314</v>
      </c>
      <c r="B237" s="267"/>
      <c r="C237" s="268"/>
      <c r="D237" s="198" t="s">
        <v>315</v>
      </c>
      <c r="E237" s="308" t="e">
        <f>ROUND((E232*E233)/(E234*(E233+E235)*E236),0)</f>
        <v>#VALUE!</v>
      </c>
      <c r="F237" s="308"/>
      <c r="G237" s="193" t="s">
        <v>316</v>
      </c>
      <c r="H237" s="219"/>
    </row>
    <row r="238" spans="1:8" x14ac:dyDescent="0.25">
      <c r="A238" s="266" t="s">
        <v>317</v>
      </c>
      <c r="B238" s="267"/>
      <c r="C238" s="268"/>
      <c r="D238" s="198" t="s">
        <v>315</v>
      </c>
      <c r="E238" s="336"/>
      <c r="F238" s="336"/>
      <c r="G238" s="193" t="s">
        <v>316</v>
      </c>
      <c r="H238" s="219" t="str">
        <f>IF(E238="","",IF(E238&lt;E237,"Does not meet sizing criteria",""))</f>
        <v/>
      </c>
    </row>
    <row r="239" spans="1:8" ht="13" x14ac:dyDescent="0.25">
      <c r="A239" s="236" t="s">
        <v>276</v>
      </c>
      <c r="B239" s="237"/>
      <c r="C239" s="237"/>
      <c r="D239" s="237"/>
      <c r="E239" s="237"/>
      <c r="F239" s="237"/>
      <c r="G239" s="237"/>
      <c r="H239" s="238"/>
    </row>
    <row r="240" spans="1:8" ht="13" x14ac:dyDescent="0.25">
      <c r="A240" s="335" t="s">
        <v>241</v>
      </c>
      <c r="B240" s="335"/>
      <c r="C240" s="9" t="str">
        <f>IF(A220="","",IF(D222="YES",0,IF(D223&gt;10,0,IF(D224&lt;0.5,0,IF(D225&lt;2,0,IF(D226&lt;2,0,IF(D227&lt;3,0,IF(D228&lt;10,0,IF(D229&lt;24,0,IF(E233&lt;3,0,IF(E235&gt;0.5,0,IF(E238&lt;E237,0,F220*1))))))))))))</f>
        <v/>
      </c>
      <c r="D240" s="310" t="s">
        <v>2</v>
      </c>
      <c r="E240" s="311"/>
      <c r="F240" s="311"/>
      <c r="G240" s="311"/>
      <c r="H240" s="312"/>
    </row>
  </sheetData>
  <sheetProtection algorithmName="SHA-512" hashValue="baeHdWTmdqYhkVAkV7Sr8Bngys6tjWOxhXYrcWZ2Kiz8e2o9Izn+TYxl9puQ/4F5EL8semlJ/ivNUVYImXjb5Q==" saltValue="atrq86jN1/Vrp+297U/gKg==" spinCount="100000" sheet="1" formatColumns="0" formatRows="0"/>
  <mergeCells count="373">
    <mergeCell ref="A236:C236"/>
    <mergeCell ref="E236:F236"/>
    <mergeCell ref="A237:C237"/>
    <mergeCell ref="E237:F237"/>
    <mergeCell ref="A238:C238"/>
    <mergeCell ref="E238:F238"/>
    <mergeCell ref="A239:H239"/>
    <mergeCell ref="A240:B240"/>
    <mergeCell ref="D240:H240"/>
    <mergeCell ref="E231:F231"/>
    <mergeCell ref="A232:C232"/>
    <mergeCell ref="E232:F232"/>
    <mergeCell ref="A233:C233"/>
    <mergeCell ref="E233:F233"/>
    <mergeCell ref="A234:C234"/>
    <mergeCell ref="E234:F234"/>
    <mergeCell ref="A235:C235"/>
    <mergeCell ref="E235:F235"/>
    <mergeCell ref="A226:C226"/>
    <mergeCell ref="E226:H226"/>
    <mergeCell ref="A227:C227"/>
    <mergeCell ref="E227:H227"/>
    <mergeCell ref="A228:C228"/>
    <mergeCell ref="E228:H228"/>
    <mergeCell ref="A229:C229"/>
    <mergeCell ref="E229:H229"/>
    <mergeCell ref="A230:H230"/>
    <mergeCell ref="A218:H218"/>
    <mergeCell ref="A221:H221"/>
    <mergeCell ref="A222:C222"/>
    <mergeCell ref="E222:H222"/>
    <mergeCell ref="A223:C223"/>
    <mergeCell ref="E223:H223"/>
    <mergeCell ref="A224:C224"/>
    <mergeCell ref="E224:H224"/>
    <mergeCell ref="A225:C225"/>
    <mergeCell ref="E225:H225"/>
    <mergeCell ref="A212:C212"/>
    <mergeCell ref="E212:F212"/>
    <mergeCell ref="A213:C213"/>
    <mergeCell ref="E213:F213"/>
    <mergeCell ref="A214:C214"/>
    <mergeCell ref="E214:F214"/>
    <mergeCell ref="A215:H215"/>
    <mergeCell ref="A216:B216"/>
    <mergeCell ref="D216:H216"/>
    <mergeCell ref="E207:F207"/>
    <mergeCell ref="A208:C208"/>
    <mergeCell ref="E208:F208"/>
    <mergeCell ref="A209:C209"/>
    <mergeCell ref="E209:F209"/>
    <mergeCell ref="A210:C210"/>
    <mergeCell ref="E210:F210"/>
    <mergeCell ref="A211:C211"/>
    <mergeCell ref="E211:F211"/>
    <mergeCell ref="A202:C202"/>
    <mergeCell ref="E202:H202"/>
    <mergeCell ref="A203:C203"/>
    <mergeCell ref="E203:H203"/>
    <mergeCell ref="A204:C204"/>
    <mergeCell ref="E204:H204"/>
    <mergeCell ref="A205:C205"/>
    <mergeCell ref="E205:H205"/>
    <mergeCell ref="A206:H206"/>
    <mergeCell ref="A194:H194"/>
    <mergeCell ref="A197:H197"/>
    <mergeCell ref="A198:C198"/>
    <mergeCell ref="E198:H198"/>
    <mergeCell ref="A199:C199"/>
    <mergeCell ref="E199:H199"/>
    <mergeCell ref="A200:C200"/>
    <mergeCell ref="E200:H200"/>
    <mergeCell ref="A201:C201"/>
    <mergeCell ref="E201:H201"/>
    <mergeCell ref="A188:C188"/>
    <mergeCell ref="E188:F188"/>
    <mergeCell ref="A189:C189"/>
    <mergeCell ref="E189:F189"/>
    <mergeCell ref="A190:C190"/>
    <mergeCell ref="E190:F190"/>
    <mergeCell ref="A191:H191"/>
    <mergeCell ref="A192:B192"/>
    <mergeCell ref="D192:H192"/>
    <mergeCell ref="E183:F183"/>
    <mergeCell ref="A184:C184"/>
    <mergeCell ref="E184:F184"/>
    <mergeCell ref="A185:C185"/>
    <mergeCell ref="E185:F185"/>
    <mergeCell ref="A186:C186"/>
    <mergeCell ref="E186:F186"/>
    <mergeCell ref="A187:C187"/>
    <mergeCell ref="E187:F187"/>
    <mergeCell ref="A178:C178"/>
    <mergeCell ref="E178:H178"/>
    <mergeCell ref="A179:C179"/>
    <mergeCell ref="E179:H179"/>
    <mergeCell ref="A180:C180"/>
    <mergeCell ref="E180:H180"/>
    <mergeCell ref="A181:C181"/>
    <mergeCell ref="E181:H181"/>
    <mergeCell ref="A182:H182"/>
    <mergeCell ref="A170:H170"/>
    <mergeCell ref="A173:H173"/>
    <mergeCell ref="A174:C174"/>
    <mergeCell ref="E174:H174"/>
    <mergeCell ref="A175:C175"/>
    <mergeCell ref="E175:H175"/>
    <mergeCell ref="A176:C176"/>
    <mergeCell ref="E176:H176"/>
    <mergeCell ref="A177:C177"/>
    <mergeCell ref="E177:H177"/>
    <mergeCell ref="A164:C164"/>
    <mergeCell ref="E164:F164"/>
    <mergeCell ref="A165:C165"/>
    <mergeCell ref="E165:F165"/>
    <mergeCell ref="A166:C166"/>
    <mergeCell ref="E166:F166"/>
    <mergeCell ref="A167:H167"/>
    <mergeCell ref="A168:B168"/>
    <mergeCell ref="D168:H168"/>
    <mergeCell ref="E159:F159"/>
    <mergeCell ref="A160:C160"/>
    <mergeCell ref="E160:F160"/>
    <mergeCell ref="A161:C161"/>
    <mergeCell ref="E161:F161"/>
    <mergeCell ref="A162:C162"/>
    <mergeCell ref="E162:F162"/>
    <mergeCell ref="A163:C163"/>
    <mergeCell ref="E163:F163"/>
    <mergeCell ref="A154:C154"/>
    <mergeCell ref="E154:H154"/>
    <mergeCell ref="A155:C155"/>
    <mergeCell ref="E155:H155"/>
    <mergeCell ref="A156:C156"/>
    <mergeCell ref="E156:H156"/>
    <mergeCell ref="A157:C157"/>
    <mergeCell ref="E157:H157"/>
    <mergeCell ref="A158:H158"/>
    <mergeCell ref="A146:H146"/>
    <mergeCell ref="A149:H149"/>
    <mergeCell ref="A150:C150"/>
    <mergeCell ref="E150:H150"/>
    <mergeCell ref="A151:C151"/>
    <mergeCell ref="E151:H151"/>
    <mergeCell ref="A152:C152"/>
    <mergeCell ref="E152:H152"/>
    <mergeCell ref="A153:C153"/>
    <mergeCell ref="E153:H153"/>
    <mergeCell ref="A140:C140"/>
    <mergeCell ref="E140:F140"/>
    <mergeCell ref="A141:C141"/>
    <mergeCell ref="E141:F141"/>
    <mergeCell ref="A142:C142"/>
    <mergeCell ref="E142:F142"/>
    <mergeCell ref="A143:H143"/>
    <mergeCell ref="A144:B144"/>
    <mergeCell ref="D144:H144"/>
    <mergeCell ref="E135:F135"/>
    <mergeCell ref="A136:C136"/>
    <mergeCell ref="E136:F136"/>
    <mergeCell ref="A137:C137"/>
    <mergeCell ref="E137:F137"/>
    <mergeCell ref="A138:C138"/>
    <mergeCell ref="E138:F138"/>
    <mergeCell ref="A139:C139"/>
    <mergeCell ref="E139:F139"/>
    <mergeCell ref="A130:C130"/>
    <mergeCell ref="E130:H130"/>
    <mergeCell ref="A131:C131"/>
    <mergeCell ref="E131:H131"/>
    <mergeCell ref="A132:C132"/>
    <mergeCell ref="E132:H132"/>
    <mergeCell ref="A133:C133"/>
    <mergeCell ref="E133:H133"/>
    <mergeCell ref="A134:H134"/>
    <mergeCell ref="A122:H122"/>
    <mergeCell ref="A125:H125"/>
    <mergeCell ref="A126:C126"/>
    <mergeCell ref="E126:H126"/>
    <mergeCell ref="A127:C127"/>
    <mergeCell ref="E127:H127"/>
    <mergeCell ref="A128:C128"/>
    <mergeCell ref="E128:H128"/>
    <mergeCell ref="A129:C129"/>
    <mergeCell ref="E129:H129"/>
    <mergeCell ref="E89:F89"/>
    <mergeCell ref="A84:C84"/>
    <mergeCell ref="E84:H84"/>
    <mergeCell ref="A85:C85"/>
    <mergeCell ref="E85:H85"/>
    <mergeCell ref="A109:C109"/>
    <mergeCell ref="E108:H108"/>
    <mergeCell ref="A108:C108"/>
    <mergeCell ref="A101:H101"/>
    <mergeCell ref="A98:H98"/>
    <mergeCell ref="I2:J2"/>
    <mergeCell ref="I3:J3"/>
    <mergeCell ref="I4:J4"/>
    <mergeCell ref="E104:H104"/>
    <mergeCell ref="A104:C104"/>
    <mergeCell ref="E103:H103"/>
    <mergeCell ref="A103:C103"/>
    <mergeCell ref="E102:H102"/>
    <mergeCell ref="A102:C102"/>
    <mergeCell ref="A90:C90"/>
    <mergeCell ref="E90:F90"/>
    <mergeCell ref="A91:C91"/>
    <mergeCell ref="E91:F91"/>
    <mergeCell ref="A92:C92"/>
    <mergeCell ref="E92:F92"/>
    <mergeCell ref="E87:F87"/>
    <mergeCell ref="A88:C88"/>
    <mergeCell ref="E88:F88"/>
    <mergeCell ref="A89:C89"/>
    <mergeCell ref="A86:H86"/>
    <mergeCell ref="A81:C81"/>
    <mergeCell ref="E81:H81"/>
    <mergeCell ref="A82:C82"/>
    <mergeCell ref="E82:H82"/>
    <mergeCell ref="D120:H120"/>
    <mergeCell ref="A120:B120"/>
    <mergeCell ref="A119:H119"/>
    <mergeCell ref="E118:F118"/>
    <mergeCell ref="A118:C118"/>
    <mergeCell ref="E117:F117"/>
    <mergeCell ref="A117:C117"/>
    <mergeCell ref="E116:F116"/>
    <mergeCell ref="A116:C116"/>
    <mergeCell ref="E115:F115"/>
    <mergeCell ref="A115:C115"/>
    <mergeCell ref="A93:C93"/>
    <mergeCell ref="E93:F93"/>
    <mergeCell ref="A94:C94"/>
    <mergeCell ref="E94:F94"/>
    <mergeCell ref="E114:F114"/>
    <mergeCell ref="A114:C114"/>
    <mergeCell ref="E113:F113"/>
    <mergeCell ref="A113:C113"/>
    <mergeCell ref="E112:F112"/>
    <mergeCell ref="A112:C112"/>
    <mergeCell ref="A95:H95"/>
    <mergeCell ref="A96:B96"/>
    <mergeCell ref="D96:H96"/>
    <mergeCell ref="E107:H107"/>
    <mergeCell ref="A107:C107"/>
    <mergeCell ref="E106:H106"/>
    <mergeCell ref="A106:C106"/>
    <mergeCell ref="E105:H105"/>
    <mergeCell ref="A105:C105"/>
    <mergeCell ref="E111:F111"/>
    <mergeCell ref="A110:H110"/>
    <mergeCell ref="E109:H109"/>
    <mergeCell ref="A83:C83"/>
    <mergeCell ref="E83:H83"/>
    <mergeCell ref="A78:C78"/>
    <mergeCell ref="E78:H78"/>
    <mergeCell ref="A79:C79"/>
    <mergeCell ref="E79:H79"/>
    <mergeCell ref="A80:C80"/>
    <mergeCell ref="E80:H80"/>
    <mergeCell ref="A71:H71"/>
    <mergeCell ref="A72:B72"/>
    <mergeCell ref="D72:H72"/>
    <mergeCell ref="A74:H74"/>
    <mergeCell ref="A77:H77"/>
    <mergeCell ref="A69:C69"/>
    <mergeCell ref="E69:F69"/>
    <mergeCell ref="A70:C70"/>
    <mergeCell ref="E70:F70"/>
    <mergeCell ref="A66:C66"/>
    <mergeCell ref="E66:F66"/>
    <mergeCell ref="A67:C67"/>
    <mergeCell ref="E67:F67"/>
    <mergeCell ref="A68:C68"/>
    <mergeCell ref="E68:F68"/>
    <mergeCell ref="E63:F63"/>
    <mergeCell ref="A64:C64"/>
    <mergeCell ref="E64:F64"/>
    <mergeCell ref="A65:C65"/>
    <mergeCell ref="E65:F65"/>
    <mergeCell ref="A60:C60"/>
    <mergeCell ref="E60:H60"/>
    <mergeCell ref="A61:C61"/>
    <mergeCell ref="E61:H61"/>
    <mergeCell ref="A62:H62"/>
    <mergeCell ref="A57:C57"/>
    <mergeCell ref="E57:H57"/>
    <mergeCell ref="A58:C58"/>
    <mergeCell ref="E58:H58"/>
    <mergeCell ref="A59:C59"/>
    <mergeCell ref="E59:H59"/>
    <mergeCell ref="A54:C54"/>
    <mergeCell ref="E54:H54"/>
    <mergeCell ref="A55:C55"/>
    <mergeCell ref="E55:H55"/>
    <mergeCell ref="A56:C56"/>
    <mergeCell ref="E56:H56"/>
    <mergeCell ref="A47:H47"/>
    <mergeCell ref="A48:B48"/>
    <mergeCell ref="D48:H48"/>
    <mergeCell ref="A50:H50"/>
    <mergeCell ref="A53:H53"/>
    <mergeCell ref="A45:C45"/>
    <mergeCell ref="E45:F45"/>
    <mergeCell ref="A46:C46"/>
    <mergeCell ref="E46:F46"/>
    <mergeCell ref="A42:C42"/>
    <mergeCell ref="E42:F42"/>
    <mergeCell ref="A43:C43"/>
    <mergeCell ref="E43:F43"/>
    <mergeCell ref="A44:C44"/>
    <mergeCell ref="E44:F44"/>
    <mergeCell ref="A38:H38"/>
    <mergeCell ref="E39:F39"/>
    <mergeCell ref="A40:C40"/>
    <mergeCell ref="E40:F40"/>
    <mergeCell ref="A41:C41"/>
    <mergeCell ref="E41:F41"/>
    <mergeCell ref="A35:C35"/>
    <mergeCell ref="E35:H35"/>
    <mergeCell ref="A36:C36"/>
    <mergeCell ref="E36:H36"/>
    <mergeCell ref="A37:C37"/>
    <mergeCell ref="E37:H37"/>
    <mergeCell ref="A2:H2"/>
    <mergeCell ref="A5:H5"/>
    <mergeCell ref="A14:H14"/>
    <mergeCell ref="A8:C8"/>
    <mergeCell ref="E8:H8"/>
    <mergeCell ref="A9:C9"/>
    <mergeCell ref="E9:H9"/>
    <mergeCell ref="A10:C10"/>
    <mergeCell ref="E10:H10"/>
    <mergeCell ref="A13:C13"/>
    <mergeCell ref="E13:H13"/>
    <mergeCell ref="A11:C11"/>
    <mergeCell ref="E11:H11"/>
    <mergeCell ref="A12:C12"/>
    <mergeCell ref="E12:H12"/>
    <mergeCell ref="E7:H7"/>
    <mergeCell ref="A7:C7"/>
    <mergeCell ref="E6:H6"/>
    <mergeCell ref="A32:C32"/>
    <mergeCell ref="E32:H32"/>
    <mergeCell ref="A33:C33"/>
    <mergeCell ref="E33:H33"/>
    <mergeCell ref="A34:C34"/>
    <mergeCell ref="E34:H34"/>
    <mergeCell ref="E21:F21"/>
    <mergeCell ref="A22:C22"/>
    <mergeCell ref="E22:F22"/>
    <mergeCell ref="A26:H26"/>
    <mergeCell ref="A29:H29"/>
    <mergeCell ref="A30:C30"/>
    <mergeCell ref="E30:H30"/>
    <mergeCell ref="A31:C31"/>
    <mergeCell ref="E31:H31"/>
    <mergeCell ref="A24:B24"/>
    <mergeCell ref="D24:H24"/>
    <mergeCell ref="A23:H23"/>
    <mergeCell ref="A20:C20"/>
    <mergeCell ref="E20:F20"/>
    <mergeCell ref="E15:F15"/>
    <mergeCell ref="A16:C16"/>
    <mergeCell ref="E16:F16"/>
    <mergeCell ref="A17:C17"/>
    <mergeCell ref="E17:F17"/>
    <mergeCell ref="A6:C6"/>
    <mergeCell ref="A21:C21"/>
    <mergeCell ref="A18:C18"/>
    <mergeCell ref="E18:F18"/>
    <mergeCell ref="A19:C19"/>
    <mergeCell ref="E19:F19"/>
  </mergeCells>
  <dataValidations count="3">
    <dataValidation type="list" showInputMessage="1" showErrorMessage="1" promptTitle="Yes or No?" sqref="D6 D30 D54 D78 D102 D126 D150 D174 D198 D222" xr:uid="{1E8D9B34-156D-4D63-A66A-9F1497604BAC}">
      <formula1>YesNo</formula1>
    </dataValidation>
    <dataValidation type="list" showInputMessage="1" showErrorMessage="1" promptTitle="Choose Area" sqref="A4 A28 A52 A76 A100 A124 A148 A172 A196 A220" xr:uid="{0AA93D38-08FC-4D83-A069-E73699ACD13A}">
      <formula1>CatchNo</formula1>
    </dataValidation>
    <dataValidation type="decimal" operator="greaterThan" allowBlank="1" showInputMessage="1" showErrorMessage="1" sqref="E19:F19 E22:F22 D7:D13 E17:F17 E41:F41 E43:F43 E46:F46 D31:D37 E65:F65 E67:F67 D55:D61 E70:F70 D79:D85 E89:F89 E91:F91 E94:F94 D103:D109 E113:F113 E115:F115 E118:F118 D127:D133 E137:F137 E139:F139 E142:F142 D151:D157 E161:F161 E163:F163 E166:F166 D175:D181 E185:F185 E187:F187 E190:F190 D199:D205 E209:F209 E211:F211 E214:F214 D223:D229 E233:F233 E235:F235 E238:F238" xr:uid="{C13E20BD-EE57-4098-97C5-F861D1A110B0}">
      <formula1>0</formula1>
    </dataValidation>
  </dataValidations>
  <pageMargins left="0.5" right="0.5" top="0.75" bottom="0.5" header="0.3" footer="0.3"/>
  <pageSetup paperSize="278" orientation="portrait" r:id="rId1"/>
  <headerFooter>
    <oddHeader>&amp;C&amp;"Arial,Regular"&amp;18Tree Trench (RR-3)</oddHeader>
  </headerFooter>
  <rowBreaks count="10" manualBreakCount="10">
    <brk id="24" max="16383" man="1"/>
    <brk id="48" max="16383" man="1"/>
    <brk id="72" max="16383" man="1"/>
    <brk id="96" max="16383" man="1"/>
    <brk id="120" max="16383" man="1"/>
    <brk id="144" max="16383" man="1"/>
    <brk id="168" max="16383" man="1"/>
    <brk id="192" max="16383" man="1"/>
    <brk id="216" max="16383" man="1"/>
    <brk id="2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64BC9-AAA9-4F56-8737-8A52C485ABAB}">
  <dimension ref="A1:N132"/>
  <sheetViews>
    <sheetView view="pageLayout" zoomScaleNormal="100" workbookViewId="0">
      <selection activeCell="L8" sqref="L8"/>
    </sheetView>
  </sheetViews>
  <sheetFormatPr defaultColWidth="9.1796875" defaultRowHeight="12.5" x14ac:dyDescent="0.35"/>
  <cols>
    <col min="1" max="1" width="12.7265625" style="12" customWidth="1"/>
    <col min="2" max="2" width="13.1796875" style="12" customWidth="1"/>
    <col min="3" max="3" width="11.26953125" style="12" customWidth="1"/>
    <col min="4" max="5" width="10.7265625" style="12" customWidth="1"/>
    <col min="6" max="6" width="7.54296875" style="12" customWidth="1"/>
    <col min="7" max="7" width="12.26953125" style="12" customWidth="1"/>
    <col min="8" max="8" width="15" style="12" customWidth="1"/>
    <col min="9" max="16384" width="9.1796875" style="12"/>
  </cols>
  <sheetData>
    <row r="1" spans="1:14" ht="15" customHeight="1" x14ac:dyDescent="0.35">
      <c r="A1" s="16" t="s">
        <v>56</v>
      </c>
      <c r="B1" s="225" t="str">
        <f>IF('STEP 2-WQv Calculation'!$B$4="","",'STEP 2-WQv Calculation'!$B$4)</f>
        <v/>
      </c>
    </row>
    <row r="2" spans="1:14" ht="13" x14ac:dyDescent="0.25">
      <c r="A2" s="309" t="s">
        <v>243</v>
      </c>
      <c r="B2" s="309"/>
      <c r="C2" s="309"/>
      <c r="D2" s="309"/>
      <c r="E2" s="309"/>
      <c r="F2" s="309"/>
      <c r="G2" s="309"/>
      <c r="H2" s="309"/>
      <c r="I2" s="255" t="s">
        <v>245</v>
      </c>
      <c r="J2" s="256"/>
      <c r="K2" s="49">
        <f>SUM(C4,C19,C32,C45,C58,C73,C88,C103,C118,C133)</f>
        <v>0</v>
      </c>
      <c r="L2" s="12" t="s">
        <v>223</v>
      </c>
      <c r="M2" s="4"/>
      <c r="N2" s="49"/>
    </row>
    <row r="3" spans="1:14" ht="46.75" customHeight="1" x14ac:dyDescent="0.25">
      <c r="A3" s="204" t="s">
        <v>60</v>
      </c>
      <c r="B3" s="205" t="s">
        <v>61</v>
      </c>
      <c r="C3" s="205" t="s">
        <v>62</v>
      </c>
      <c r="D3" s="205" t="s">
        <v>63</v>
      </c>
      <c r="E3" s="205" t="s">
        <v>64</v>
      </c>
      <c r="F3" s="205" t="s">
        <v>65</v>
      </c>
      <c r="G3" s="205" t="s">
        <v>244</v>
      </c>
      <c r="H3" s="206" t="s">
        <v>13</v>
      </c>
      <c r="I3" s="255" t="s">
        <v>227</v>
      </c>
      <c r="J3" s="256"/>
      <c r="K3" s="28">
        <f>SUM(C15,C28,C41,C54,C67,C82,C97,C112,C127,C142)</f>
        <v>0</v>
      </c>
      <c r="L3" s="12" t="s">
        <v>2</v>
      </c>
      <c r="M3" s="4"/>
      <c r="N3" s="28"/>
    </row>
    <row r="4" spans="1:14" ht="30.7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M4" s="4"/>
      <c r="N4" s="28"/>
    </row>
    <row r="5" spans="1:14" ht="13" x14ac:dyDescent="0.35">
      <c r="A5" s="241" t="s">
        <v>226</v>
      </c>
      <c r="B5" s="241"/>
      <c r="C5" s="241"/>
      <c r="D5" s="241"/>
      <c r="E5" s="241"/>
      <c r="F5" s="241"/>
      <c r="G5" s="241"/>
      <c r="H5" s="241"/>
    </row>
    <row r="6" spans="1:14" s="19" customFormat="1" ht="13" hidden="1" x14ac:dyDescent="0.35">
      <c r="A6" s="241"/>
      <c r="B6" s="241"/>
      <c r="C6" s="241"/>
      <c r="D6" s="241"/>
      <c r="E6" s="241"/>
      <c r="F6" s="241"/>
      <c r="G6" s="241"/>
      <c r="H6" s="241"/>
    </row>
    <row r="7" spans="1:14" ht="13" hidden="1" x14ac:dyDescent="0.35">
      <c r="A7" s="64"/>
      <c r="B7" s="20"/>
      <c r="C7" s="207"/>
      <c r="D7" s="257"/>
      <c r="E7" s="258"/>
      <c r="F7" s="258"/>
      <c r="G7" s="258"/>
      <c r="H7" s="259"/>
    </row>
    <row r="8" spans="1:14" ht="30.25" customHeight="1" x14ac:dyDescent="0.35">
      <c r="A8" s="242" t="s">
        <v>318</v>
      </c>
      <c r="B8" s="243"/>
      <c r="C8" s="243"/>
      <c r="D8" s="243"/>
      <c r="E8" s="243"/>
      <c r="F8" s="244"/>
      <c r="G8" s="218"/>
      <c r="H8" s="213" t="str">
        <f>IF(G8="YES","Amended soil required","")</f>
        <v/>
      </c>
    </row>
    <row r="9" spans="1:14" ht="30.25" customHeight="1" x14ac:dyDescent="0.35">
      <c r="A9" s="245" t="s">
        <v>319</v>
      </c>
      <c r="B9" s="245"/>
      <c r="C9" s="245"/>
      <c r="D9" s="245"/>
      <c r="E9" s="245"/>
      <c r="F9" s="245"/>
      <c r="G9" s="218"/>
      <c r="H9" s="213" t="str">
        <f>IF(G9="YES","Does not meet design criteria","")</f>
        <v/>
      </c>
    </row>
    <row r="10" spans="1:14" ht="30.25" customHeight="1" x14ac:dyDescent="0.35">
      <c r="A10" s="245" t="s">
        <v>702</v>
      </c>
      <c r="B10" s="245"/>
      <c r="C10" s="245"/>
      <c r="D10" s="245"/>
      <c r="E10" s="245"/>
      <c r="F10" s="245"/>
      <c r="G10" s="218"/>
      <c r="H10" s="213" t="str">
        <f>IF(G10&gt;75,"Does not meet design criteria","")</f>
        <v/>
      </c>
      <c r="I10" s="234"/>
      <c r="J10" s="234"/>
      <c r="K10" s="234"/>
      <c r="L10" s="234"/>
      <c r="M10" s="234"/>
    </row>
    <row r="11" spans="1:14" ht="30.25" customHeight="1" x14ac:dyDescent="0.35">
      <c r="A11" s="245" t="s">
        <v>321</v>
      </c>
      <c r="B11" s="245"/>
      <c r="C11" s="245"/>
      <c r="D11" s="245"/>
      <c r="E11" s="245"/>
      <c r="F11" s="245"/>
      <c r="G11" s="218"/>
      <c r="H11" s="213" t="str">
        <f>IF(G11="","",IF(G11&lt;10,"Does not meet design criteria",""))</f>
        <v/>
      </c>
      <c r="I11" s="199"/>
      <c r="J11" s="199"/>
      <c r="K11" s="199"/>
      <c r="L11" s="199"/>
      <c r="M11" s="199"/>
    </row>
    <row r="12" spans="1:14" ht="30.25" customHeight="1" x14ac:dyDescent="0.35">
      <c r="A12" s="245" t="s">
        <v>322</v>
      </c>
      <c r="B12" s="245"/>
      <c r="C12" s="245"/>
      <c r="D12" s="245"/>
      <c r="E12" s="245"/>
      <c r="F12" s="245"/>
      <c r="G12" s="218"/>
      <c r="H12" s="213" t="str">
        <f>IF(G12="","",IF(G12&lt;40,"Does not meet design criteria",""))</f>
        <v/>
      </c>
      <c r="I12" s="199"/>
      <c r="J12" s="199"/>
      <c r="K12" s="199"/>
      <c r="L12" s="199"/>
      <c r="M12" s="199"/>
    </row>
    <row r="13" spans="1:14" ht="43.15" customHeight="1" x14ac:dyDescent="0.35">
      <c r="A13" s="245" t="s">
        <v>323</v>
      </c>
      <c r="B13" s="245"/>
      <c r="C13" s="245"/>
      <c r="D13" s="245"/>
      <c r="E13" s="245"/>
      <c r="F13" s="245"/>
      <c r="G13" s="218"/>
      <c r="H13" s="213" t="str">
        <f>IF(G13&gt;5,"Does not meet design criteria",IF(G13&gt;2,"Turf reinforcement required",""))</f>
        <v/>
      </c>
    </row>
    <row r="14" spans="1:14" ht="15" customHeight="1" x14ac:dyDescent="0.35">
      <c r="A14" s="236" t="s">
        <v>240</v>
      </c>
      <c r="B14" s="237"/>
      <c r="C14" s="237"/>
      <c r="D14" s="237"/>
      <c r="E14" s="237"/>
      <c r="F14" s="237"/>
      <c r="G14" s="237"/>
      <c r="H14" s="238"/>
    </row>
    <row r="15" spans="1:14" ht="30.25" customHeight="1" x14ac:dyDescent="0.35">
      <c r="A15" s="240" t="s">
        <v>241</v>
      </c>
      <c r="B15" s="240"/>
      <c r="C15" s="9" t="str">
        <f>IF(A4="","",IF(G9="YES",0,IF(G10&gt;75,0,IF(G11&lt;10,0,IF(G12&lt;40,0,IF(G13&gt;5,0,F4))))))</f>
        <v/>
      </c>
      <c r="D15" s="240" t="s">
        <v>2</v>
      </c>
      <c r="E15" s="240"/>
      <c r="F15" s="240"/>
      <c r="G15" s="240"/>
      <c r="H15" s="240"/>
    </row>
    <row r="16" spans="1:14" ht="13" x14ac:dyDescent="0.35">
      <c r="A16" s="16" t="s">
        <v>56</v>
      </c>
      <c r="B16" s="225" t="str">
        <f>IF('STEP 2-WQv Calculation'!$B$4="","",'STEP 2-WQv Calculation'!$B$4)</f>
        <v/>
      </c>
    </row>
    <row r="17" spans="1:8" ht="13.15" customHeight="1" x14ac:dyDescent="0.35">
      <c r="A17" s="309" t="s">
        <v>243</v>
      </c>
      <c r="B17" s="309"/>
      <c r="C17" s="309"/>
      <c r="D17" s="309"/>
      <c r="E17" s="309"/>
      <c r="F17" s="309"/>
      <c r="G17" s="309"/>
      <c r="H17" s="309"/>
    </row>
    <row r="18" spans="1:8" ht="38.5" x14ac:dyDescent="0.35">
      <c r="A18" s="204" t="s">
        <v>60</v>
      </c>
      <c r="B18" s="205" t="s">
        <v>61</v>
      </c>
      <c r="C18" s="205" t="s">
        <v>62</v>
      </c>
      <c r="D18" s="205" t="s">
        <v>63</v>
      </c>
      <c r="E18" s="205" t="s">
        <v>64</v>
      </c>
      <c r="F18" s="205" t="s">
        <v>65</v>
      </c>
      <c r="G18" s="205" t="s">
        <v>244</v>
      </c>
      <c r="H18" s="206" t="s">
        <v>13</v>
      </c>
    </row>
    <row r="19" spans="1:8" x14ac:dyDescent="0.35">
      <c r="A19" s="17"/>
      <c r="B19" s="18" t="str">
        <f>IF($A19="","",(LOOKUP($A19,'STEP 2-WQv Calculation'!$A$8:$A$37,'STEP 2-WQv Calculation'!$B$8:$B$37)))</f>
        <v/>
      </c>
      <c r="C19" s="18" t="str">
        <f>IF($A19="","",(LOOKUP($A19,'STEP 2-WQv Calculation'!$A$8:$A$37,'STEP 2-WQv Calculation'!$C$8:$C$37)))</f>
        <v/>
      </c>
      <c r="D19" s="53" t="str">
        <f>IF($A19="","",(LOOKUP($A19,'STEP 2-WQv Calculation'!$A$8:$A$37,'STEP 2-WQv Calculation'!$D$8:$D$37)))</f>
        <v/>
      </c>
      <c r="E19" s="18" t="str">
        <f>IF($A19="","",(LOOKUP($A19,'STEP 2-WQv Calculation'!$A$8:$A$37,'STEP 2-WQv Calculation'!$E$8:$E$37)))</f>
        <v/>
      </c>
      <c r="F19" s="42" t="str">
        <f>IF($A19="","",(LOOKUP($A19,'STEP 2-WQv Calculation'!$A$8:$A$37,'STEP 2-WQv Calculation'!$F$8:$F$37)))</f>
        <v/>
      </c>
      <c r="G19" s="18">
        <f>'STEP 2-WQv Calculation'!B5</f>
        <v>0</v>
      </c>
      <c r="H19" s="29" t="str">
        <f>IF($A19="","",(LOOKUP($A19,'STEP 2-WQv Calculation'!$A$8:$A$37,'STEP 2-WQv Calculation'!$G$8:$G$37)))</f>
        <v/>
      </c>
    </row>
    <row r="20" spans="1:8" ht="13.15" customHeight="1" x14ac:dyDescent="0.35">
      <c r="A20" s="241" t="s">
        <v>226</v>
      </c>
      <c r="B20" s="241"/>
      <c r="C20" s="241"/>
      <c r="D20" s="241"/>
      <c r="E20" s="241"/>
      <c r="F20" s="241"/>
      <c r="G20" s="241"/>
      <c r="H20" s="241"/>
    </row>
    <row r="21" spans="1:8" ht="13.15" customHeight="1" x14ac:dyDescent="0.35">
      <c r="A21" s="242" t="s">
        <v>318</v>
      </c>
      <c r="B21" s="243"/>
      <c r="C21" s="243"/>
      <c r="D21" s="243"/>
      <c r="E21" s="243"/>
      <c r="F21" s="244"/>
      <c r="G21" s="218"/>
      <c r="H21" s="213" t="str">
        <f>IF(G21="YES","Amended soil required","")</f>
        <v/>
      </c>
    </row>
    <row r="22" spans="1:8" ht="13.15" customHeight="1" x14ac:dyDescent="0.35">
      <c r="A22" s="245" t="s">
        <v>319</v>
      </c>
      <c r="B22" s="245"/>
      <c r="C22" s="245"/>
      <c r="D22" s="245"/>
      <c r="E22" s="245"/>
      <c r="F22" s="245"/>
      <c r="G22" s="218"/>
      <c r="H22" s="213" t="str">
        <f>IF(G22="YES","Does not meet design criteria","")</f>
        <v/>
      </c>
    </row>
    <row r="23" spans="1:8" ht="13.15" customHeight="1" x14ac:dyDescent="0.35">
      <c r="A23" s="245" t="s">
        <v>702</v>
      </c>
      <c r="B23" s="245"/>
      <c r="C23" s="245"/>
      <c r="D23" s="245"/>
      <c r="E23" s="245"/>
      <c r="F23" s="245"/>
      <c r="G23" s="218"/>
      <c r="H23" s="213" t="str">
        <f>IF(G23&gt;75,"Does not meet design criteria","")</f>
        <v/>
      </c>
    </row>
    <row r="24" spans="1:8" ht="13.15" customHeight="1" x14ac:dyDescent="0.35">
      <c r="A24" s="245" t="s">
        <v>321</v>
      </c>
      <c r="B24" s="245"/>
      <c r="C24" s="245"/>
      <c r="D24" s="245"/>
      <c r="E24" s="245"/>
      <c r="F24" s="245"/>
      <c r="G24" s="218"/>
      <c r="H24" s="213" t="str">
        <f>IF(G24="","",IF(G24&lt;10,"Does not meet design criteria",""))</f>
        <v/>
      </c>
    </row>
    <row r="25" spans="1:8" ht="13.15" customHeight="1" x14ac:dyDescent="0.35">
      <c r="A25" s="245" t="s">
        <v>322</v>
      </c>
      <c r="B25" s="245"/>
      <c r="C25" s="245"/>
      <c r="D25" s="245"/>
      <c r="E25" s="245"/>
      <c r="F25" s="245"/>
      <c r="G25" s="218"/>
      <c r="H25" s="213" t="str">
        <f>IF(G25="","",IF(G25&lt;40,"Does not meet design criteria",""))</f>
        <v/>
      </c>
    </row>
    <row r="26" spans="1:8" ht="13.15" customHeight="1" x14ac:dyDescent="0.35">
      <c r="A26" s="245" t="s">
        <v>323</v>
      </c>
      <c r="B26" s="245"/>
      <c r="C26" s="245"/>
      <c r="D26" s="245"/>
      <c r="E26" s="245"/>
      <c r="F26" s="245"/>
      <c r="G26" s="218"/>
      <c r="H26" s="213" t="str">
        <f>IF(G26&gt;5,"Does not meet design criteria",IF(G26&gt;2,"Turf reinforcement required",""))</f>
        <v/>
      </c>
    </row>
    <row r="27" spans="1:8" ht="13.15" customHeight="1" x14ac:dyDescent="0.35">
      <c r="A27" s="236" t="s">
        <v>240</v>
      </c>
      <c r="B27" s="237"/>
      <c r="C27" s="237"/>
      <c r="D27" s="237"/>
      <c r="E27" s="237"/>
      <c r="F27" s="237"/>
      <c r="G27" s="237"/>
      <c r="H27" s="238"/>
    </row>
    <row r="28" spans="1:8" ht="13.15" customHeight="1" x14ac:dyDescent="0.35">
      <c r="A28" s="240" t="s">
        <v>241</v>
      </c>
      <c r="B28" s="240"/>
      <c r="C28" s="9">
        <f>IF(A17="","",IF(G22="YES",0,IF(G23&gt;75,0,IF(G24&lt;10,0,IF(G25&lt;40,0,IF(G26&gt;5,0,F17))))))</f>
        <v>0</v>
      </c>
      <c r="D28" s="240" t="s">
        <v>2</v>
      </c>
      <c r="E28" s="240"/>
      <c r="F28" s="240"/>
      <c r="G28" s="240"/>
      <c r="H28" s="240"/>
    </row>
    <row r="29" spans="1:8" ht="13" x14ac:dyDescent="0.35">
      <c r="A29" s="16" t="s">
        <v>56</v>
      </c>
      <c r="B29" s="225" t="str">
        <f>IF('STEP 2-WQv Calculation'!$B$4="","",'STEP 2-WQv Calculation'!$B$4)</f>
        <v/>
      </c>
    </row>
    <row r="30" spans="1:8" ht="13.15" customHeight="1" x14ac:dyDescent="0.35">
      <c r="A30" s="309" t="s">
        <v>243</v>
      </c>
      <c r="B30" s="309"/>
      <c r="C30" s="309"/>
      <c r="D30" s="309"/>
      <c r="E30" s="309"/>
      <c r="F30" s="309"/>
      <c r="G30" s="309"/>
      <c r="H30" s="309"/>
    </row>
    <row r="31" spans="1:8" ht="38.5" x14ac:dyDescent="0.35">
      <c r="A31" s="204" t="s">
        <v>60</v>
      </c>
      <c r="B31" s="205" t="s">
        <v>61</v>
      </c>
      <c r="C31" s="205" t="s">
        <v>62</v>
      </c>
      <c r="D31" s="205" t="s">
        <v>63</v>
      </c>
      <c r="E31" s="205" t="s">
        <v>64</v>
      </c>
      <c r="F31" s="205" t="s">
        <v>65</v>
      </c>
      <c r="G31" s="205" t="s">
        <v>244</v>
      </c>
      <c r="H31" s="206" t="s">
        <v>13</v>
      </c>
    </row>
    <row r="32" spans="1:8" x14ac:dyDescent="0.35">
      <c r="A32" s="17"/>
      <c r="B32" s="18" t="str">
        <f>IF($A32="","",(LOOKUP($A32,'STEP 2-WQv Calculation'!$A$8:$A$37,'STEP 2-WQv Calculation'!$B$8:$B$37)))</f>
        <v/>
      </c>
      <c r="C32" s="18" t="str">
        <f>IF($A32="","",(LOOKUP($A32,'STEP 2-WQv Calculation'!$A$8:$A$37,'STEP 2-WQv Calculation'!$C$8:$C$37)))</f>
        <v/>
      </c>
      <c r="D32" s="53" t="str">
        <f>IF($A32="","",(LOOKUP($A32,'STEP 2-WQv Calculation'!$A$8:$A$37,'STEP 2-WQv Calculation'!$D$8:$D$37)))</f>
        <v/>
      </c>
      <c r="E32" s="18" t="str">
        <f>IF($A32="","",(LOOKUP($A32,'STEP 2-WQv Calculation'!$A$8:$A$37,'STEP 2-WQv Calculation'!$E$8:$E$37)))</f>
        <v/>
      </c>
      <c r="F32" s="42" t="str">
        <f>IF($A32="","",(LOOKUP($A32,'STEP 2-WQv Calculation'!$A$8:$A$37,'STEP 2-WQv Calculation'!$F$8:$F$37)))</f>
        <v/>
      </c>
      <c r="G32" s="18">
        <f>'STEP 2-WQv Calculation'!B5</f>
        <v>0</v>
      </c>
      <c r="H32" s="29" t="str">
        <f>IF($A32="","",(LOOKUP($A32,'STEP 2-WQv Calculation'!$A$8:$A$37,'STEP 2-WQv Calculation'!$G$8:$G$37)))</f>
        <v/>
      </c>
    </row>
    <row r="33" spans="1:8" ht="13.15" customHeight="1" x14ac:dyDescent="0.35">
      <c r="A33" s="241" t="s">
        <v>226</v>
      </c>
      <c r="B33" s="241"/>
      <c r="C33" s="241"/>
      <c r="D33" s="241"/>
      <c r="E33" s="241"/>
      <c r="F33" s="241"/>
      <c r="G33" s="241"/>
      <c r="H33" s="241"/>
    </row>
    <row r="34" spans="1:8" ht="13.15" customHeight="1" x14ac:dyDescent="0.35">
      <c r="A34" s="242" t="s">
        <v>318</v>
      </c>
      <c r="B34" s="243"/>
      <c r="C34" s="243"/>
      <c r="D34" s="243"/>
      <c r="E34" s="243"/>
      <c r="F34" s="244"/>
      <c r="G34" s="218"/>
      <c r="H34" s="213" t="str">
        <f>IF(G34="YES","Amended soil required","")</f>
        <v/>
      </c>
    </row>
    <row r="35" spans="1:8" ht="13.15" customHeight="1" x14ac:dyDescent="0.35">
      <c r="A35" s="245" t="s">
        <v>319</v>
      </c>
      <c r="B35" s="245"/>
      <c r="C35" s="245"/>
      <c r="D35" s="245"/>
      <c r="E35" s="245"/>
      <c r="F35" s="245"/>
      <c r="G35" s="218"/>
      <c r="H35" s="213" t="str">
        <f>IF(G35="YES","Does not meet design criteria","")</f>
        <v/>
      </c>
    </row>
    <row r="36" spans="1:8" ht="13.15" customHeight="1" x14ac:dyDescent="0.35">
      <c r="A36" s="245" t="s">
        <v>702</v>
      </c>
      <c r="B36" s="245"/>
      <c r="C36" s="245"/>
      <c r="D36" s="245"/>
      <c r="E36" s="245"/>
      <c r="F36" s="245"/>
      <c r="G36" s="218"/>
      <c r="H36" s="213" t="str">
        <f>IF(G36&gt;75,"Does not meet design criteria","")</f>
        <v/>
      </c>
    </row>
    <row r="37" spans="1:8" ht="13.15" customHeight="1" x14ac:dyDescent="0.35">
      <c r="A37" s="245" t="s">
        <v>321</v>
      </c>
      <c r="B37" s="245"/>
      <c r="C37" s="245"/>
      <c r="D37" s="245"/>
      <c r="E37" s="245"/>
      <c r="F37" s="245"/>
      <c r="G37" s="218"/>
      <c r="H37" s="213" t="str">
        <f>IF(G37="","",IF(G37&lt;10,"Does not meet design criteria",""))</f>
        <v/>
      </c>
    </row>
    <row r="38" spans="1:8" ht="13.15" customHeight="1" x14ac:dyDescent="0.35">
      <c r="A38" s="245" t="s">
        <v>322</v>
      </c>
      <c r="B38" s="245"/>
      <c r="C38" s="245"/>
      <c r="D38" s="245"/>
      <c r="E38" s="245"/>
      <c r="F38" s="245"/>
      <c r="G38" s="218"/>
      <c r="H38" s="213" t="str">
        <f>IF(G38="","",IF(G38&lt;40,"Does not meet design criteria",""))</f>
        <v/>
      </c>
    </row>
    <row r="39" spans="1:8" ht="13.15" customHeight="1" x14ac:dyDescent="0.35">
      <c r="A39" s="245" t="s">
        <v>323</v>
      </c>
      <c r="B39" s="245"/>
      <c r="C39" s="245"/>
      <c r="D39" s="245"/>
      <c r="E39" s="245"/>
      <c r="F39" s="245"/>
      <c r="G39" s="218"/>
      <c r="H39" s="213" t="str">
        <f>IF(G39&gt;5,"Does not meet design criteria",IF(G39&gt;2,"Turf reinforcement required",""))</f>
        <v/>
      </c>
    </row>
    <row r="40" spans="1:8" ht="13.15" customHeight="1" x14ac:dyDescent="0.35">
      <c r="A40" s="236" t="s">
        <v>240</v>
      </c>
      <c r="B40" s="237"/>
      <c r="C40" s="237"/>
      <c r="D40" s="237"/>
      <c r="E40" s="237"/>
      <c r="F40" s="237"/>
      <c r="G40" s="237"/>
      <c r="H40" s="238"/>
    </row>
    <row r="41" spans="1:8" ht="13" x14ac:dyDescent="0.35">
      <c r="A41" s="240" t="s">
        <v>241</v>
      </c>
      <c r="B41" s="240"/>
      <c r="C41" s="9">
        <f>IF(A30="","",IF(G35="YES",0,IF(G36&gt;75,0,IF(G37&lt;10,0,IF(G38&lt;40,0,IF(G39&gt;5,0,F30))))))</f>
        <v>0</v>
      </c>
      <c r="D41" s="240" t="s">
        <v>2</v>
      </c>
      <c r="E41" s="240"/>
      <c r="F41" s="240"/>
      <c r="G41" s="240"/>
      <c r="H41" s="240"/>
    </row>
    <row r="42" spans="1:8" ht="13" x14ac:dyDescent="0.35">
      <c r="A42" s="16" t="s">
        <v>56</v>
      </c>
      <c r="B42" s="225" t="str">
        <f>IF('STEP 2-WQv Calculation'!$B$4="","",'STEP 2-WQv Calculation'!$B$4)</f>
        <v/>
      </c>
    </row>
    <row r="43" spans="1:8" ht="13.15" customHeight="1" x14ac:dyDescent="0.35">
      <c r="A43" s="309" t="s">
        <v>243</v>
      </c>
      <c r="B43" s="309"/>
      <c r="C43" s="309"/>
      <c r="D43" s="309"/>
      <c r="E43" s="309"/>
      <c r="F43" s="309"/>
      <c r="G43" s="309"/>
      <c r="H43" s="309"/>
    </row>
    <row r="44" spans="1:8" ht="38.5" x14ac:dyDescent="0.35">
      <c r="A44" s="204" t="s">
        <v>60</v>
      </c>
      <c r="B44" s="205" t="s">
        <v>61</v>
      </c>
      <c r="C44" s="205" t="s">
        <v>62</v>
      </c>
      <c r="D44" s="205" t="s">
        <v>63</v>
      </c>
      <c r="E44" s="205" t="s">
        <v>64</v>
      </c>
      <c r="F44" s="205" t="s">
        <v>65</v>
      </c>
      <c r="G44" s="205" t="s">
        <v>244</v>
      </c>
      <c r="H44" s="206" t="s">
        <v>13</v>
      </c>
    </row>
    <row r="45" spans="1:8" x14ac:dyDescent="0.35">
      <c r="A45" s="17"/>
      <c r="B45" s="18" t="str">
        <f>IF($A45="","",(LOOKUP($A45,'STEP 2-WQv Calculation'!$A$8:$A$37,'STEP 2-WQv Calculation'!$B$8:$B$37)))</f>
        <v/>
      </c>
      <c r="C45" s="18" t="str">
        <f>IF($A45="","",(LOOKUP($A45,'STEP 2-WQv Calculation'!$A$8:$A$37,'STEP 2-WQv Calculation'!$C$8:$C$37)))</f>
        <v/>
      </c>
      <c r="D45" s="53" t="str">
        <f>IF($A45="","",(LOOKUP($A45,'STEP 2-WQv Calculation'!$A$8:$A$37,'STEP 2-WQv Calculation'!$D$8:$D$37)))</f>
        <v/>
      </c>
      <c r="E45" s="18" t="str">
        <f>IF($A45="","",(LOOKUP($A45,'STEP 2-WQv Calculation'!$A$8:$A$37,'STEP 2-WQv Calculation'!$E$8:$E$37)))</f>
        <v/>
      </c>
      <c r="F45" s="42" t="str">
        <f>IF($A45="","",(LOOKUP($A45,'STEP 2-WQv Calculation'!$A$8:$A$37,'STEP 2-WQv Calculation'!$F$8:$F$37)))</f>
        <v/>
      </c>
      <c r="G45" s="18">
        <f>'STEP 2-WQv Calculation'!B5</f>
        <v>0</v>
      </c>
      <c r="H45" s="29" t="str">
        <f>IF($A45="","",(LOOKUP($A45,'STEP 2-WQv Calculation'!$A$8:$A$37,'STEP 2-WQv Calculation'!$G$8:$G$37)))</f>
        <v/>
      </c>
    </row>
    <row r="46" spans="1:8" ht="13.15" customHeight="1" x14ac:dyDescent="0.35">
      <c r="A46" s="241" t="s">
        <v>226</v>
      </c>
      <c r="B46" s="241"/>
      <c r="C46" s="241"/>
      <c r="D46" s="241"/>
      <c r="E46" s="241"/>
      <c r="F46" s="241"/>
      <c r="G46" s="241"/>
      <c r="H46" s="241"/>
    </row>
    <row r="47" spans="1:8" ht="13.15" customHeight="1" x14ac:dyDescent="0.35">
      <c r="A47" s="242" t="s">
        <v>318</v>
      </c>
      <c r="B47" s="243"/>
      <c r="C47" s="243"/>
      <c r="D47" s="243"/>
      <c r="E47" s="243"/>
      <c r="F47" s="244"/>
      <c r="G47" s="218"/>
      <c r="H47" s="213" t="str">
        <f>IF(G47="YES","Amended soil required","")</f>
        <v/>
      </c>
    </row>
    <row r="48" spans="1:8" ht="13.15" customHeight="1" x14ac:dyDescent="0.35">
      <c r="A48" s="245" t="s">
        <v>319</v>
      </c>
      <c r="B48" s="245"/>
      <c r="C48" s="245"/>
      <c r="D48" s="245"/>
      <c r="E48" s="245"/>
      <c r="F48" s="245"/>
      <c r="G48" s="218"/>
      <c r="H48" s="213" t="str">
        <f>IF(G48="YES","Does not meet design criteria","")</f>
        <v/>
      </c>
    </row>
    <row r="49" spans="1:8" ht="13.15" customHeight="1" x14ac:dyDescent="0.35">
      <c r="A49" s="245" t="s">
        <v>702</v>
      </c>
      <c r="B49" s="245"/>
      <c r="C49" s="245"/>
      <c r="D49" s="245"/>
      <c r="E49" s="245"/>
      <c r="F49" s="245"/>
      <c r="G49" s="218"/>
      <c r="H49" s="213" t="str">
        <f>IF(G49&gt;75,"Does not meet design criteria","")</f>
        <v/>
      </c>
    </row>
    <row r="50" spans="1:8" ht="13.15" customHeight="1" x14ac:dyDescent="0.35">
      <c r="A50" s="245" t="s">
        <v>321</v>
      </c>
      <c r="B50" s="245"/>
      <c r="C50" s="245"/>
      <c r="D50" s="245"/>
      <c r="E50" s="245"/>
      <c r="F50" s="245"/>
      <c r="G50" s="218"/>
      <c r="H50" s="213" t="str">
        <f>IF(G50="","",IF(G50&lt;10,"Does not meet design criteria",""))</f>
        <v/>
      </c>
    </row>
    <row r="51" spans="1:8" ht="13.15" customHeight="1" x14ac:dyDescent="0.35">
      <c r="A51" s="245" t="s">
        <v>322</v>
      </c>
      <c r="B51" s="245"/>
      <c r="C51" s="245"/>
      <c r="D51" s="245"/>
      <c r="E51" s="245"/>
      <c r="F51" s="245"/>
      <c r="G51" s="218"/>
      <c r="H51" s="213" t="str">
        <f>IF(G51="","",IF(G51&lt;40,"Does not meet design criteria",""))</f>
        <v/>
      </c>
    </row>
    <row r="52" spans="1:8" ht="13.15" customHeight="1" x14ac:dyDescent="0.35">
      <c r="A52" s="245" t="s">
        <v>323</v>
      </c>
      <c r="B52" s="245"/>
      <c r="C52" s="245"/>
      <c r="D52" s="245"/>
      <c r="E52" s="245"/>
      <c r="F52" s="245"/>
      <c r="G52" s="218"/>
      <c r="H52" s="213" t="str">
        <f>IF(G52&gt;5,"Does not meet design criteria",IF(G52&gt;2,"Turf reinforcement required",""))</f>
        <v/>
      </c>
    </row>
    <row r="53" spans="1:8" ht="13.15" customHeight="1" x14ac:dyDescent="0.35">
      <c r="A53" s="236" t="s">
        <v>240</v>
      </c>
      <c r="B53" s="237"/>
      <c r="C53" s="237"/>
      <c r="D53" s="237"/>
      <c r="E53" s="237"/>
      <c r="F53" s="237"/>
      <c r="G53" s="237"/>
      <c r="H53" s="238"/>
    </row>
    <row r="54" spans="1:8" ht="13" x14ac:dyDescent="0.35">
      <c r="A54" s="240" t="s">
        <v>241</v>
      </c>
      <c r="B54" s="240"/>
      <c r="C54" s="9">
        <f>IF(A43="","",IF(G48="YES",0,IF(G49&gt;75,0,IF(G50&lt;10,0,IF(G51&lt;40,0,IF(G52&gt;5,0,F43))))))</f>
        <v>0</v>
      </c>
      <c r="D54" s="240" t="s">
        <v>2</v>
      </c>
      <c r="E54" s="240"/>
      <c r="F54" s="240"/>
      <c r="G54" s="240"/>
      <c r="H54" s="240"/>
    </row>
    <row r="55" spans="1:8" ht="13" x14ac:dyDescent="0.35">
      <c r="A55" s="16" t="s">
        <v>56</v>
      </c>
      <c r="B55" s="225" t="str">
        <f>IF('STEP 2-WQv Calculation'!$B$4="","",'STEP 2-WQv Calculation'!$B$4)</f>
        <v/>
      </c>
    </row>
    <row r="56" spans="1:8" ht="13.15" customHeight="1" x14ac:dyDescent="0.35">
      <c r="A56" s="309" t="s">
        <v>243</v>
      </c>
      <c r="B56" s="309"/>
      <c r="C56" s="309"/>
      <c r="D56" s="309"/>
      <c r="E56" s="309"/>
      <c r="F56" s="309"/>
      <c r="G56" s="309"/>
      <c r="H56" s="309"/>
    </row>
    <row r="57" spans="1:8" ht="38.5" x14ac:dyDescent="0.35">
      <c r="A57" s="204" t="s">
        <v>60</v>
      </c>
      <c r="B57" s="205" t="s">
        <v>61</v>
      </c>
      <c r="C57" s="205" t="s">
        <v>62</v>
      </c>
      <c r="D57" s="205" t="s">
        <v>63</v>
      </c>
      <c r="E57" s="205" t="s">
        <v>64</v>
      </c>
      <c r="F57" s="205" t="s">
        <v>65</v>
      </c>
      <c r="G57" s="205" t="s">
        <v>244</v>
      </c>
      <c r="H57" s="206" t="s">
        <v>13</v>
      </c>
    </row>
    <row r="58" spans="1:8" x14ac:dyDescent="0.35">
      <c r="A58" s="17"/>
      <c r="B58" s="18" t="str">
        <f>IF($A58="","",(LOOKUP($A58,'STEP 2-WQv Calculation'!$A$8:$A$37,'STEP 2-WQv Calculation'!$B$8:$B$37)))</f>
        <v/>
      </c>
      <c r="C58" s="18" t="str">
        <f>IF($A58="","",(LOOKUP($A58,'STEP 2-WQv Calculation'!$A$8:$A$37,'STEP 2-WQv Calculation'!$C$8:$C$37)))</f>
        <v/>
      </c>
      <c r="D58" s="53" t="str">
        <f>IF($A58="","",(LOOKUP($A58,'STEP 2-WQv Calculation'!$A$8:$A$37,'STEP 2-WQv Calculation'!$D$8:$D$37)))</f>
        <v/>
      </c>
      <c r="E58" s="18" t="str">
        <f>IF($A58="","",(LOOKUP($A58,'STEP 2-WQv Calculation'!$A$8:$A$37,'STEP 2-WQv Calculation'!$E$8:$E$37)))</f>
        <v/>
      </c>
      <c r="F58" s="42" t="str">
        <f>IF($A58="","",(LOOKUP($A58,'STEP 2-WQv Calculation'!$A$8:$A$37,'STEP 2-WQv Calculation'!$F$8:$F$37)))</f>
        <v/>
      </c>
      <c r="G58" s="18">
        <f>'STEP 2-WQv Calculation'!B5</f>
        <v>0</v>
      </c>
      <c r="H58" s="29" t="str">
        <f>IF($A58="","",(LOOKUP($A58,'STEP 2-WQv Calculation'!$A$8:$A$37,'STEP 2-WQv Calculation'!$G$8:$G$37)))</f>
        <v/>
      </c>
    </row>
    <row r="59" spans="1:8" ht="13.15" customHeight="1" x14ac:dyDescent="0.35">
      <c r="A59" s="241" t="s">
        <v>226</v>
      </c>
      <c r="B59" s="241"/>
      <c r="C59" s="241"/>
      <c r="D59" s="241"/>
      <c r="E59" s="241"/>
      <c r="F59" s="241"/>
      <c r="G59" s="241"/>
      <c r="H59" s="241"/>
    </row>
    <row r="60" spans="1:8" ht="13.15" customHeight="1" x14ac:dyDescent="0.35">
      <c r="A60" s="242" t="s">
        <v>318</v>
      </c>
      <c r="B60" s="243"/>
      <c r="C60" s="243"/>
      <c r="D60" s="243"/>
      <c r="E60" s="243"/>
      <c r="F60" s="244"/>
      <c r="G60" s="218"/>
      <c r="H60" s="213" t="str">
        <f>IF(G60="YES","Amended soil required","")</f>
        <v/>
      </c>
    </row>
    <row r="61" spans="1:8" ht="13.15" customHeight="1" x14ac:dyDescent="0.35">
      <c r="A61" s="245" t="s">
        <v>319</v>
      </c>
      <c r="B61" s="245"/>
      <c r="C61" s="245"/>
      <c r="D61" s="245"/>
      <c r="E61" s="245"/>
      <c r="F61" s="245"/>
      <c r="G61" s="218"/>
      <c r="H61" s="213" t="str">
        <f>IF(G61="YES","Does not meet design criteria","")</f>
        <v/>
      </c>
    </row>
    <row r="62" spans="1:8" ht="13.15" customHeight="1" x14ac:dyDescent="0.35">
      <c r="A62" s="245" t="s">
        <v>320</v>
      </c>
      <c r="B62" s="245"/>
      <c r="C62" s="245"/>
      <c r="D62" s="245"/>
      <c r="E62" s="245"/>
      <c r="F62" s="245"/>
      <c r="G62" s="218"/>
      <c r="H62" s="213" t="str">
        <f>IF(G62&gt;75,"Does not meet design criteria","")</f>
        <v/>
      </c>
    </row>
    <row r="63" spans="1:8" ht="13.15" customHeight="1" x14ac:dyDescent="0.35">
      <c r="A63" s="245" t="s">
        <v>321</v>
      </c>
      <c r="B63" s="245"/>
      <c r="C63" s="245"/>
      <c r="D63" s="245"/>
      <c r="E63" s="245"/>
      <c r="F63" s="245"/>
      <c r="G63" s="218"/>
      <c r="H63" s="213" t="str">
        <f>IF(G63="","",IF(G63&lt;10,"Does not meet design criteria",""))</f>
        <v/>
      </c>
    </row>
    <row r="64" spans="1:8" ht="13.15" customHeight="1" x14ac:dyDescent="0.35">
      <c r="A64" s="245" t="s">
        <v>322</v>
      </c>
      <c r="B64" s="245"/>
      <c r="C64" s="245"/>
      <c r="D64" s="245"/>
      <c r="E64" s="245"/>
      <c r="F64" s="245"/>
      <c r="G64" s="218"/>
      <c r="H64" s="213" t="str">
        <f>IF(G64="","",IF(G64&lt;40,"Does not meet design criteria",""))</f>
        <v/>
      </c>
    </row>
    <row r="65" spans="1:8" ht="13.15" customHeight="1" x14ac:dyDescent="0.35">
      <c r="A65" s="245" t="s">
        <v>323</v>
      </c>
      <c r="B65" s="245"/>
      <c r="C65" s="245"/>
      <c r="D65" s="245"/>
      <c r="E65" s="245"/>
      <c r="F65" s="245"/>
      <c r="G65" s="218"/>
      <c r="H65" s="213" t="str">
        <f>IF(G65&gt;5,"Does not meet design criteria",IF(G65&gt;2,"Turf reinforcement required",""))</f>
        <v/>
      </c>
    </row>
    <row r="66" spans="1:8" ht="13.15" customHeight="1" x14ac:dyDescent="0.35">
      <c r="A66" s="236" t="s">
        <v>240</v>
      </c>
      <c r="B66" s="237"/>
      <c r="C66" s="237"/>
      <c r="D66" s="237"/>
      <c r="E66" s="237"/>
      <c r="F66" s="237"/>
      <c r="G66" s="237"/>
      <c r="H66" s="238"/>
    </row>
    <row r="67" spans="1:8" ht="13" x14ac:dyDescent="0.35">
      <c r="A67" s="240" t="s">
        <v>241</v>
      </c>
      <c r="B67" s="240"/>
      <c r="C67" s="9">
        <f>IF(A56="","",IF(G61="YES",0,IF(G62&gt;75,0,IF(G63&lt;10,0,IF(G64&lt;40,0,IF(G65&gt;5,0,F56))))))</f>
        <v>0</v>
      </c>
      <c r="D67" s="240" t="s">
        <v>2</v>
      </c>
      <c r="E67" s="240"/>
      <c r="F67" s="240"/>
      <c r="G67" s="240"/>
      <c r="H67" s="240"/>
    </row>
    <row r="68" spans="1:8" ht="13" x14ac:dyDescent="0.35">
      <c r="A68" s="16" t="s">
        <v>56</v>
      </c>
      <c r="B68" s="225" t="str">
        <f>IF('STEP 2-WQv Calculation'!$B$4="","",'STEP 2-WQv Calculation'!$B$4)</f>
        <v/>
      </c>
    </row>
    <row r="69" spans="1:8" ht="13" x14ac:dyDescent="0.35">
      <c r="A69" s="309" t="s">
        <v>243</v>
      </c>
      <c r="B69" s="309"/>
      <c r="C69" s="309"/>
      <c r="D69" s="309"/>
      <c r="E69" s="309"/>
      <c r="F69" s="309"/>
      <c r="G69" s="309"/>
      <c r="H69" s="309"/>
    </row>
    <row r="70" spans="1:8" ht="38.5" x14ac:dyDescent="0.35">
      <c r="A70" s="204" t="s">
        <v>60</v>
      </c>
      <c r="B70" s="205" t="s">
        <v>61</v>
      </c>
      <c r="C70" s="205" t="s">
        <v>62</v>
      </c>
      <c r="D70" s="205" t="s">
        <v>63</v>
      </c>
      <c r="E70" s="205" t="s">
        <v>64</v>
      </c>
      <c r="F70" s="205" t="s">
        <v>65</v>
      </c>
      <c r="G70" s="205" t="s">
        <v>244</v>
      </c>
      <c r="H70" s="206" t="s">
        <v>13</v>
      </c>
    </row>
    <row r="71" spans="1:8" x14ac:dyDescent="0.35">
      <c r="A71" s="17"/>
      <c r="B71" s="18" t="str">
        <f>IF($A71="","",(LOOKUP($A71,'STEP 2-WQv Calculation'!$A$8:$A$37,'STEP 2-WQv Calculation'!$B$8:$B$37)))</f>
        <v/>
      </c>
      <c r="C71" s="18" t="str">
        <f>IF($A71="","",(LOOKUP($A71,'STEP 2-WQv Calculation'!$A$8:$A$37,'STEP 2-WQv Calculation'!$C$8:$C$37)))</f>
        <v/>
      </c>
      <c r="D71" s="53" t="str">
        <f>IF($A71="","",(LOOKUP($A71,'STEP 2-WQv Calculation'!$A$8:$A$37,'STEP 2-WQv Calculation'!$D$8:$D$37)))</f>
        <v/>
      </c>
      <c r="E71" s="18" t="str">
        <f>IF($A71="","",(LOOKUP($A71,'STEP 2-WQv Calculation'!$A$8:$A$37,'STEP 2-WQv Calculation'!$E$8:$E$37)))</f>
        <v/>
      </c>
      <c r="F71" s="42" t="str">
        <f>IF($A71="","",(LOOKUP($A71,'STEP 2-WQv Calculation'!$A$8:$A$37,'STEP 2-WQv Calculation'!$F$8:$F$37)))</f>
        <v/>
      </c>
      <c r="G71" s="18">
        <f>'STEP 2-WQv Calculation'!B18</f>
        <v>0</v>
      </c>
      <c r="H71" s="29" t="str">
        <f>IF($A71="","",(LOOKUP($A71,'STEP 2-WQv Calculation'!$A$8:$A$37,'STEP 2-WQv Calculation'!$G$8:$G$37)))</f>
        <v/>
      </c>
    </row>
    <row r="72" spans="1:8" ht="13" x14ac:dyDescent="0.35">
      <c r="A72" s="241" t="s">
        <v>226</v>
      </c>
      <c r="B72" s="241"/>
      <c r="C72" s="241"/>
      <c r="D72" s="241"/>
      <c r="E72" s="241"/>
      <c r="F72" s="241"/>
      <c r="G72" s="241"/>
      <c r="H72" s="241"/>
    </row>
    <row r="73" spans="1:8" x14ac:dyDescent="0.35">
      <c r="A73" s="242" t="s">
        <v>318</v>
      </c>
      <c r="B73" s="243"/>
      <c r="C73" s="243"/>
      <c r="D73" s="243"/>
      <c r="E73" s="243"/>
      <c r="F73" s="244"/>
      <c r="G73" s="218"/>
      <c r="H73" s="213" t="str">
        <f>IF(G73="YES","Amended soil required","")</f>
        <v/>
      </c>
    </row>
    <row r="74" spans="1:8" x14ac:dyDescent="0.35">
      <c r="A74" s="245" t="s">
        <v>319</v>
      </c>
      <c r="B74" s="245"/>
      <c r="C74" s="245"/>
      <c r="D74" s="245"/>
      <c r="E74" s="245"/>
      <c r="F74" s="245"/>
      <c r="G74" s="218"/>
      <c r="H74" s="213" t="str">
        <f>IF(G74="YES","Does not meet design criteria","")</f>
        <v/>
      </c>
    </row>
    <row r="75" spans="1:8" x14ac:dyDescent="0.35">
      <c r="A75" s="245" t="s">
        <v>320</v>
      </c>
      <c r="B75" s="245"/>
      <c r="C75" s="245"/>
      <c r="D75" s="245"/>
      <c r="E75" s="245"/>
      <c r="F75" s="245"/>
      <c r="G75" s="218"/>
      <c r="H75" s="213" t="str">
        <f>IF(G75&gt;75,"Does not meet design criteria","")</f>
        <v/>
      </c>
    </row>
    <row r="76" spans="1:8" x14ac:dyDescent="0.35">
      <c r="A76" s="245" t="s">
        <v>321</v>
      </c>
      <c r="B76" s="245"/>
      <c r="C76" s="245"/>
      <c r="D76" s="245"/>
      <c r="E76" s="245"/>
      <c r="F76" s="245"/>
      <c r="G76" s="218"/>
      <c r="H76" s="213" t="str">
        <f>IF(G76="","",IF(G76&lt;10,"Does not meet design criteria",""))</f>
        <v/>
      </c>
    </row>
    <row r="77" spans="1:8" x14ac:dyDescent="0.35">
      <c r="A77" s="245" t="s">
        <v>322</v>
      </c>
      <c r="B77" s="245"/>
      <c r="C77" s="245"/>
      <c r="D77" s="245"/>
      <c r="E77" s="245"/>
      <c r="F77" s="245"/>
      <c r="G77" s="218"/>
      <c r="H77" s="213" t="str">
        <f>IF(G77="","",IF(G77&lt;40,"Does not meet design criteria",""))</f>
        <v/>
      </c>
    </row>
    <row r="78" spans="1:8" x14ac:dyDescent="0.35">
      <c r="A78" s="245" t="s">
        <v>323</v>
      </c>
      <c r="B78" s="245"/>
      <c r="C78" s="245"/>
      <c r="D78" s="245"/>
      <c r="E78" s="245"/>
      <c r="F78" s="245"/>
      <c r="G78" s="218"/>
      <c r="H78" s="213" t="str">
        <f>IF(G78&gt;5,"Does not meet design criteria",IF(G78&gt;2,"Turf reinforcement required",""))</f>
        <v/>
      </c>
    </row>
    <row r="79" spans="1:8" ht="13" x14ac:dyDescent="0.35">
      <c r="A79" s="236" t="s">
        <v>240</v>
      </c>
      <c r="B79" s="237"/>
      <c r="C79" s="237"/>
      <c r="D79" s="237"/>
      <c r="E79" s="237"/>
      <c r="F79" s="237"/>
      <c r="G79" s="237"/>
      <c r="H79" s="238"/>
    </row>
    <row r="80" spans="1:8" ht="13" x14ac:dyDescent="0.35">
      <c r="A80" s="240" t="s">
        <v>241</v>
      </c>
      <c r="B80" s="240"/>
      <c r="C80" s="9">
        <f>IF(A69="","",IF(G74="YES",0,IF(G75&gt;75,0,IF(G76&lt;10,0,IF(G77&lt;40,0,IF(G78&gt;5,0,F69))))))</f>
        <v>0</v>
      </c>
      <c r="D80" s="240" t="s">
        <v>2</v>
      </c>
      <c r="E80" s="240"/>
      <c r="F80" s="240"/>
      <c r="G80" s="240"/>
      <c r="H80" s="240"/>
    </row>
    <row r="81" spans="1:8" ht="13" x14ac:dyDescent="0.35">
      <c r="A81" s="16" t="s">
        <v>56</v>
      </c>
      <c r="B81" s="225" t="str">
        <f>IF('STEP 2-WQv Calculation'!$B$4="","",'STEP 2-WQv Calculation'!$B$4)</f>
        <v/>
      </c>
    </row>
    <row r="82" spans="1:8" ht="13" x14ac:dyDescent="0.35">
      <c r="A82" s="309" t="s">
        <v>243</v>
      </c>
      <c r="B82" s="309"/>
      <c r="C82" s="309"/>
      <c r="D82" s="309"/>
      <c r="E82" s="309"/>
      <c r="F82" s="309"/>
      <c r="G82" s="309"/>
      <c r="H82" s="309"/>
    </row>
    <row r="83" spans="1:8" ht="38.5" x14ac:dyDescent="0.35">
      <c r="A83" s="204" t="s">
        <v>60</v>
      </c>
      <c r="B83" s="205" t="s">
        <v>61</v>
      </c>
      <c r="C83" s="205" t="s">
        <v>62</v>
      </c>
      <c r="D83" s="205" t="s">
        <v>63</v>
      </c>
      <c r="E83" s="205" t="s">
        <v>64</v>
      </c>
      <c r="F83" s="205" t="s">
        <v>65</v>
      </c>
      <c r="G83" s="205" t="s">
        <v>244</v>
      </c>
      <c r="H83" s="206" t="s">
        <v>13</v>
      </c>
    </row>
    <row r="84" spans="1:8" x14ac:dyDescent="0.35">
      <c r="A84" s="17"/>
      <c r="B84" s="18" t="str">
        <f>IF($A84="","",(LOOKUP($A84,'STEP 2-WQv Calculation'!$A$8:$A$37,'STEP 2-WQv Calculation'!$B$8:$B$37)))</f>
        <v/>
      </c>
      <c r="C84" s="18" t="str">
        <f>IF($A84="","",(LOOKUP($A84,'STEP 2-WQv Calculation'!$A$8:$A$37,'STEP 2-WQv Calculation'!$C$8:$C$37)))</f>
        <v/>
      </c>
      <c r="D84" s="53" t="str">
        <f>IF($A84="","",(LOOKUP($A84,'STEP 2-WQv Calculation'!$A$8:$A$37,'STEP 2-WQv Calculation'!$D$8:$D$37)))</f>
        <v/>
      </c>
      <c r="E84" s="18" t="str">
        <f>IF($A84="","",(LOOKUP($A84,'STEP 2-WQv Calculation'!$A$8:$A$37,'STEP 2-WQv Calculation'!$E$8:$E$37)))</f>
        <v/>
      </c>
      <c r="F84" s="42" t="str">
        <f>IF($A84="","",(LOOKUP($A84,'STEP 2-WQv Calculation'!$A$8:$A$37,'STEP 2-WQv Calculation'!$F$8:$F$37)))</f>
        <v/>
      </c>
      <c r="G84" s="18">
        <f>'STEP 2-WQv Calculation'!B31</f>
        <v>0</v>
      </c>
      <c r="H84" s="29" t="str">
        <f>IF($A84="","",(LOOKUP($A84,'STEP 2-WQv Calculation'!$A$8:$A$37,'STEP 2-WQv Calculation'!$G$8:$G$37)))</f>
        <v/>
      </c>
    </row>
    <row r="85" spans="1:8" ht="13" x14ac:dyDescent="0.35">
      <c r="A85" s="241" t="s">
        <v>226</v>
      </c>
      <c r="B85" s="241"/>
      <c r="C85" s="241"/>
      <c r="D85" s="241"/>
      <c r="E85" s="241"/>
      <c r="F85" s="241"/>
      <c r="G85" s="241"/>
      <c r="H85" s="241"/>
    </row>
    <row r="86" spans="1:8" x14ac:dyDescent="0.35">
      <c r="A86" s="242" t="s">
        <v>318</v>
      </c>
      <c r="B86" s="243"/>
      <c r="C86" s="243"/>
      <c r="D86" s="243"/>
      <c r="E86" s="243"/>
      <c r="F86" s="244"/>
      <c r="G86" s="218"/>
      <c r="H86" s="213" t="str">
        <f>IF(G86="YES","Amended soil required","")</f>
        <v/>
      </c>
    </row>
    <row r="87" spans="1:8" x14ac:dyDescent="0.35">
      <c r="A87" s="245" t="s">
        <v>319</v>
      </c>
      <c r="B87" s="245"/>
      <c r="C87" s="245"/>
      <c r="D87" s="245"/>
      <c r="E87" s="245"/>
      <c r="F87" s="245"/>
      <c r="G87" s="218"/>
      <c r="H87" s="213" t="str">
        <f>IF(G87="YES","Does not meet design criteria","")</f>
        <v/>
      </c>
    </row>
    <row r="88" spans="1:8" x14ac:dyDescent="0.35">
      <c r="A88" s="245" t="s">
        <v>320</v>
      </c>
      <c r="B88" s="245"/>
      <c r="C88" s="245"/>
      <c r="D88" s="245"/>
      <c r="E88" s="245"/>
      <c r="F88" s="245"/>
      <c r="G88" s="218"/>
      <c r="H88" s="213" t="str">
        <f>IF(G88&gt;75,"Does not meet design criteria","")</f>
        <v/>
      </c>
    </row>
    <row r="89" spans="1:8" x14ac:dyDescent="0.35">
      <c r="A89" s="245" t="s">
        <v>321</v>
      </c>
      <c r="B89" s="245"/>
      <c r="C89" s="245"/>
      <c r="D89" s="245"/>
      <c r="E89" s="245"/>
      <c r="F89" s="245"/>
      <c r="G89" s="218"/>
      <c r="H89" s="213" t="str">
        <f>IF(G89="","",IF(G89&lt;10,"Does not meet design criteria",""))</f>
        <v/>
      </c>
    </row>
    <row r="90" spans="1:8" x14ac:dyDescent="0.35">
      <c r="A90" s="245" t="s">
        <v>322</v>
      </c>
      <c r="B90" s="245"/>
      <c r="C90" s="245"/>
      <c r="D90" s="245"/>
      <c r="E90" s="245"/>
      <c r="F90" s="245"/>
      <c r="G90" s="218"/>
      <c r="H90" s="213" t="str">
        <f>IF(G90="","",IF(G90&lt;40,"Does not meet design criteria",""))</f>
        <v/>
      </c>
    </row>
    <row r="91" spans="1:8" x14ac:dyDescent="0.35">
      <c r="A91" s="245" t="s">
        <v>323</v>
      </c>
      <c r="B91" s="245"/>
      <c r="C91" s="245"/>
      <c r="D91" s="245"/>
      <c r="E91" s="245"/>
      <c r="F91" s="245"/>
      <c r="G91" s="218"/>
      <c r="H91" s="213" t="str">
        <f>IF(G91&gt;5,"Does not meet design criteria",IF(G91&gt;2,"Turf reinforcement required",""))</f>
        <v/>
      </c>
    </row>
    <row r="92" spans="1:8" ht="13" x14ac:dyDescent="0.35">
      <c r="A92" s="236" t="s">
        <v>240</v>
      </c>
      <c r="B92" s="237"/>
      <c r="C92" s="237"/>
      <c r="D92" s="237"/>
      <c r="E92" s="237"/>
      <c r="F92" s="237"/>
      <c r="G92" s="237"/>
      <c r="H92" s="238"/>
    </row>
    <row r="93" spans="1:8" ht="13" x14ac:dyDescent="0.35">
      <c r="A93" s="240" t="s">
        <v>241</v>
      </c>
      <c r="B93" s="240"/>
      <c r="C93" s="9">
        <f>IF(A82="","",IF(G87="YES",0,IF(G88&gt;75,0,IF(G89&lt;10,0,IF(G90&lt;40,0,IF(G91&gt;5,0,F82))))))</f>
        <v>0</v>
      </c>
      <c r="D93" s="240" t="s">
        <v>2</v>
      </c>
      <c r="E93" s="240"/>
      <c r="F93" s="240"/>
      <c r="G93" s="240"/>
      <c r="H93" s="240"/>
    </row>
    <row r="94" spans="1:8" ht="13" x14ac:dyDescent="0.35">
      <c r="A94" s="16" t="s">
        <v>56</v>
      </c>
      <c r="B94" s="225" t="str">
        <f>IF('STEP 2-WQv Calculation'!$B$4="","",'STEP 2-WQv Calculation'!$B$4)</f>
        <v/>
      </c>
    </row>
    <row r="95" spans="1:8" ht="13" x14ac:dyDescent="0.35">
      <c r="A95" s="309" t="s">
        <v>243</v>
      </c>
      <c r="B95" s="309"/>
      <c r="C95" s="309"/>
      <c r="D95" s="309"/>
      <c r="E95" s="309"/>
      <c r="F95" s="309"/>
      <c r="G95" s="309"/>
      <c r="H95" s="309"/>
    </row>
    <row r="96" spans="1:8" ht="38.5" x14ac:dyDescent="0.35">
      <c r="A96" s="204" t="s">
        <v>60</v>
      </c>
      <c r="B96" s="205" t="s">
        <v>61</v>
      </c>
      <c r="C96" s="205" t="s">
        <v>62</v>
      </c>
      <c r="D96" s="205" t="s">
        <v>63</v>
      </c>
      <c r="E96" s="205" t="s">
        <v>64</v>
      </c>
      <c r="F96" s="205" t="s">
        <v>65</v>
      </c>
      <c r="G96" s="205" t="s">
        <v>244</v>
      </c>
      <c r="H96" s="206" t="s">
        <v>13</v>
      </c>
    </row>
    <row r="97" spans="1:8" x14ac:dyDescent="0.35">
      <c r="A97" s="17"/>
      <c r="B97" s="18" t="str">
        <f>IF($A97="","",(LOOKUP($A97,'STEP 2-WQv Calculation'!$A$8:$A$37,'STEP 2-WQv Calculation'!$B$8:$B$37)))</f>
        <v/>
      </c>
      <c r="C97" s="18" t="str">
        <f>IF($A97="","",(LOOKUP($A97,'STEP 2-WQv Calculation'!$A$8:$A$37,'STEP 2-WQv Calculation'!$C$8:$C$37)))</f>
        <v/>
      </c>
      <c r="D97" s="53" t="str">
        <f>IF($A97="","",(LOOKUP($A97,'STEP 2-WQv Calculation'!$A$8:$A$37,'STEP 2-WQv Calculation'!$D$8:$D$37)))</f>
        <v/>
      </c>
      <c r="E97" s="18" t="str">
        <f>IF($A97="","",(LOOKUP($A97,'STEP 2-WQv Calculation'!$A$8:$A$37,'STEP 2-WQv Calculation'!$E$8:$E$37)))</f>
        <v/>
      </c>
      <c r="F97" s="42" t="str">
        <f>IF($A97="","",(LOOKUP($A97,'STEP 2-WQv Calculation'!$A$8:$A$37,'STEP 2-WQv Calculation'!$F$8:$F$37)))</f>
        <v/>
      </c>
      <c r="G97" s="18">
        <f>'STEP 2-WQv Calculation'!B44</f>
        <v>0</v>
      </c>
      <c r="H97" s="29" t="str">
        <f>IF($A97="","",(LOOKUP($A97,'STEP 2-WQv Calculation'!$A$8:$A$37,'STEP 2-WQv Calculation'!$G$8:$G$37)))</f>
        <v/>
      </c>
    </row>
    <row r="98" spans="1:8" ht="13" x14ac:dyDescent="0.35">
      <c r="A98" s="241" t="s">
        <v>226</v>
      </c>
      <c r="B98" s="241"/>
      <c r="C98" s="241"/>
      <c r="D98" s="241"/>
      <c r="E98" s="241"/>
      <c r="F98" s="241"/>
      <c r="G98" s="241"/>
      <c r="H98" s="241"/>
    </row>
    <row r="99" spans="1:8" x14ac:dyDescent="0.35">
      <c r="A99" s="242" t="s">
        <v>318</v>
      </c>
      <c r="B99" s="243"/>
      <c r="C99" s="243"/>
      <c r="D99" s="243"/>
      <c r="E99" s="243"/>
      <c r="F99" s="244"/>
      <c r="G99" s="218"/>
      <c r="H99" s="213" t="str">
        <f>IF(G99="YES","Amended soil required","")</f>
        <v/>
      </c>
    </row>
    <row r="100" spans="1:8" x14ac:dyDescent="0.35">
      <c r="A100" s="245" t="s">
        <v>319</v>
      </c>
      <c r="B100" s="245"/>
      <c r="C100" s="245"/>
      <c r="D100" s="245"/>
      <c r="E100" s="245"/>
      <c r="F100" s="245"/>
      <c r="G100" s="218"/>
      <c r="H100" s="213" t="str">
        <f>IF(G100="YES","Does not meet design criteria","")</f>
        <v/>
      </c>
    </row>
    <row r="101" spans="1:8" x14ac:dyDescent="0.35">
      <c r="A101" s="245" t="s">
        <v>320</v>
      </c>
      <c r="B101" s="245"/>
      <c r="C101" s="245"/>
      <c r="D101" s="245"/>
      <c r="E101" s="245"/>
      <c r="F101" s="245"/>
      <c r="G101" s="218"/>
      <c r="H101" s="213" t="str">
        <f>IF(G101&gt;75,"Does not meet design criteria","")</f>
        <v/>
      </c>
    </row>
    <row r="102" spans="1:8" x14ac:dyDescent="0.35">
      <c r="A102" s="245" t="s">
        <v>321</v>
      </c>
      <c r="B102" s="245"/>
      <c r="C102" s="245"/>
      <c r="D102" s="245"/>
      <c r="E102" s="245"/>
      <c r="F102" s="245"/>
      <c r="G102" s="218"/>
      <c r="H102" s="213" t="str">
        <f>IF(G102="","",IF(G102&lt;10,"Does not meet design criteria",""))</f>
        <v/>
      </c>
    </row>
    <row r="103" spans="1:8" x14ac:dyDescent="0.35">
      <c r="A103" s="245" t="s">
        <v>322</v>
      </c>
      <c r="B103" s="245"/>
      <c r="C103" s="245"/>
      <c r="D103" s="245"/>
      <c r="E103" s="245"/>
      <c r="F103" s="245"/>
      <c r="G103" s="218"/>
      <c r="H103" s="213" t="str">
        <f>IF(G103="","",IF(G103&lt;40,"Does not meet design criteria",""))</f>
        <v/>
      </c>
    </row>
    <row r="104" spans="1:8" x14ac:dyDescent="0.35">
      <c r="A104" s="245" t="s">
        <v>323</v>
      </c>
      <c r="B104" s="245"/>
      <c r="C104" s="245"/>
      <c r="D104" s="245"/>
      <c r="E104" s="245"/>
      <c r="F104" s="245"/>
      <c r="G104" s="218"/>
      <c r="H104" s="213" t="str">
        <f>IF(G104&gt;5,"Does not meet design criteria",IF(G104&gt;2,"Turf reinforcement required",""))</f>
        <v/>
      </c>
    </row>
    <row r="105" spans="1:8" ht="13" x14ac:dyDescent="0.35">
      <c r="A105" s="236" t="s">
        <v>240</v>
      </c>
      <c r="B105" s="237"/>
      <c r="C105" s="237"/>
      <c r="D105" s="237"/>
      <c r="E105" s="237"/>
      <c r="F105" s="237"/>
      <c r="G105" s="237"/>
      <c r="H105" s="238"/>
    </row>
    <row r="106" spans="1:8" ht="13" x14ac:dyDescent="0.35">
      <c r="A106" s="240" t="s">
        <v>241</v>
      </c>
      <c r="B106" s="240"/>
      <c r="C106" s="9">
        <f>IF(A95="","",IF(G100="YES",0,IF(G101&gt;75,0,IF(G102&lt;10,0,IF(G103&lt;40,0,IF(G104&gt;5,0,F95))))))</f>
        <v>0</v>
      </c>
      <c r="D106" s="240" t="s">
        <v>2</v>
      </c>
      <c r="E106" s="240"/>
      <c r="F106" s="240"/>
      <c r="G106" s="240"/>
      <c r="H106" s="240"/>
    </row>
    <row r="107" spans="1:8" ht="13" x14ac:dyDescent="0.35">
      <c r="A107" s="16" t="s">
        <v>56</v>
      </c>
      <c r="B107" s="225" t="str">
        <f>IF('STEP 2-WQv Calculation'!$B$4="","",'STEP 2-WQv Calculation'!$B$4)</f>
        <v/>
      </c>
    </row>
    <row r="108" spans="1:8" ht="13" x14ac:dyDescent="0.35">
      <c r="A108" s="309" t="s">
        <v>243</v>
      </c>
      <c r="B108" s="309"/>
      <c r="C108" s="309"/>
      <c r="D108" s="309"/>
      <c r="E108" s="309"/>
      <c r="F108" s="309"/>
      <c r="G108" s="309"/>
      <c r="H108" s="309"/>
    </row>
    <row r="109" spans="1:8" ht="38.5" x14ac:dyDescent="0.35">
      <c r="A109" s="204" t="s">
        <v>60</v>
      </c>
      <c r="B109" s="205" t="s">
        <v>61</v>
      </c>
      <c r="C109" s="205" t="s">
        <v>62</v>
      </c>
      <c r="D109" s="205" t="s">
        <v>63</v>
      </c>
      <c r="E109" s="205" t="s">
        <v>64</v>
      </c>
      <c r="F109" s="205" t="s">
        <v>65</v>
      </c>
      <c r="G109" s="205" t="s">
        <v>244</v>
      </c>
      <c r="H109" s="206" t="s">
        <v>13</v>
      </c>
    </row>
    <row r="110" spans="1:8" x14ac:dyDescent="0.35">
      <c r="A110" s="17"/>
      <c r="B110" s="18" t="str">
        <f>IF($A110="","",(LOOKUP($A110,'STEP 2-WQv Calculation'!$A$8:$A$37,'STEP 2-WQv Calculation'!$B$8:$B$37)))</f>
        <v/>
      </c>
      <c r="C110" s="18" t="str">
        <f>IF($A110="","",(LOOKUP($A110,'STEP 2-WQv Calculation'!$A$8:$A$37,'STEP 2-WQv Calculation'!$C$8:$C$37)))</f>
        <v/>
      </c>
      <c r="D110" s="53" t="str">
        <f>IF($A110="","",(LOOKUP($A110,'STEP 2-WQv Calculation'!$A$8:$A$37,'STEP 2-WQv Calculation'!$D$8:$D$37)))</f>
        <v/>
      </c>
      <c r="E110" s="18" t="str">
        <f>IF($A110="","",(LOOKUP($A110,'STEP 2-WQv Calculation'!$A$8:$A$37,'STEP 2-WQv Calculation'!$E$8:$E$37)))</f>
        <v/>
      </c>
      <c r="F110" s="42" t="str">
        <f>IF($A110="","",(LOOKUP($A110,'STEP 2-WQv Calculation'!$A$8:$A$37,'STEP 2-WQv Calculation'!$F$8:$F$37)))</f>
        <v/>
      </c>
      <c r="G110" s="18">
        <f>'STEP 2-WQv Calculation'!B57</f>
        <v>0</v>
      </c>
      <c r="H110" s="29" t="str">
        <f>IF($A110="","",(LOOKUP($A110,'STEP 2-WQv Calculation'!$A$8:$A$37,'STEP 2-WQv Calculation'!$G$8:$G$37)))</f>
        <v/>
      </c>
    </row>
    <row r="111" spans="1:8" ht="13" x14ac:dyDescent="0.35">
      <c r="A111" s="241" t="s">
        <v>226</v>
      </c>
      <c r="B111" s="241"/>
      <c r="C111" s="241"/>
      <c r="D111" s="241"/>
      <c r="E111" s="241"/>
      <c r="F111" s="241"/>
      <c r="G111" s="241"/>
      <c r="H111" s="241"/>
    </row>
    <row r="112" spans="1:8" x14ac:dyDescent="0.35">
      <c r="A112" s="242" t="s">
        <v>318</v>
      </c>
      <c r="B112" s="243"/>
      <c r="C112" s="243"/>
      <c r="D112" s="243"/>
      <c r="E112" s="243"/>
      <c r="F112" s="244"/>
      <c r="G112" s="218"/>
      <c r="H112" s="213" t="str">
        <f>IF(G112="YES","Amended soil required","")</f>
        <v/>
      </c>
    </row>
    <row r="113" spans="1:8" x14ac:dyDescent="0.35">
      <c r="A113" s="245" t="s">
        <v>319</v>
      </c>
      <c r="B113" s="245"/>
      <c r="C113" s="245"/>
      <c r="D113" s="245"/>
      <c r="E113" s="245"/>
      <c r="F113" s="245"/>
      <c r="G113" s="218"/>
      <c r="H113" s="213" t="str">
        <f>IF(G113="YES","Does not meet design criteria","")</f>
        <v/>
      </c>
    </row>
    <row r="114" spans="1:8" x14ac:dyDescent="0.35">
      <c r="A114" s="245" t="s">
        <v>320</v>
      </c>
      <c r="B114" s="245"/>
      <c r="C114" s="245"/>
      <c r="D114" s="245"/>
      <c r="E114" s="245"/>
      <c r="F114" s="245"/>
      <c r="G114" s="218"/>
      <c r="H114" s="213" t="str">
        <f>IF(G114&gt;75,"Does not meet design criteria","")</f>
        <v/>
      </c>
    </row>
    <row r="115" spans="1:8" x14ac:dyDescent="0.35">
      <c r="A115" s="245" t="s">
        <v>321</v>
      </c>
      <c r="B115" s="245"/>
      <c r="C115" s="245"/>
      <c r="D115" s="245"/>
      <c r="E115" s="245"/>
      <c r="F115" s="245"/>
      <c r="G115" s="218"/>
      <c r="H115" s="213" t="str">
        <f>IF(G115="","",IF(G115&lt;10,"Does not meet design criteria",""))</f>
        <v/>
      </c>
    </row>
    <row r="116" spans="1:8" x14ac:dyDescent="0.35">
      <c r="A116" s="245" t="s">
        <v>322</v>
      </c>
      <c r="B116" s="245"/>
      <c r="C116" s="245"/>
      <c r="D116" s="245"/>
      <c r="E116" s="245"/>
      <c r="F116" s="245"/>
      <c r="G116" s="218"/>
      <c r="H116" s="213" t="str">
        <f>IF(G116="","",IF(G116&lt;40,"Does not meet design criteria",""))</f>
        <v/>
      </c>
    </row>
    <row r="117" spans="1:8" x14ac:dyDescent="0.35">
      <c r="A117" s="245" t="s">
        <v>323</v>
      </c>
      <c r="B117" s="245"/>
      <c r="C117" s="245"/>
      <c r="D117" s="245"/>
      <c r="E117" s="245"/>
      <c r="F117" s="245"/>
      <c r="G117" s="218"/>
      <c r="H117" s="213" t="str">
        <f>IF(G117&gt;5,"Does not meet design criteria",IF(G117&gt;2,"Turf reinforcement required",""))</f>
        <v/>
      </c>
    </row>
    <row r="118" spans="1:8" ht="13" x14ac:dyDescent="0.35">
      <c r="A118" s="236" t="s">
        <v>240</v>
      </c>
      <c r="B118" s="237"/>
      <c r="C118" s="237"/>
      <c r="D118" s="237"/>
      <c r="E118" s="237"/>
      <c r="F118" s="237"/>
      <c r="G118" s="237"/>
      <c r="H118" s="238"/>
    </row>
    <row r="119" spans="1:8" ht="13" x14ac:dyDescent="0.35">
      <c r="A119" s="240" t="s">
        <v>241</v>
      </c>
      <c r="B119" s="240"/>
      <c r="C119" s="9">
        <f>IF(A108="","",IF(G113="YES",0,IF(G114&gt;75,0,IF(G115&lt;10,0,IF(G116&lt;40,0,IF(G117&gt;5,0,F108))))))</f>
        <v>0</v>
      </c>
      <c r="D119" s="240" t="s">
        <v>2</v>
      </c>
      <c r="E119" s="240"/>
      <c r="F119" s="240"/>
      <c r="G119" s="240"/>
      <c r="H119" s="240"/>
    </row>
    <row r="120" spans="1:8" ht="13" x14ac:dyDescent="0.35">
      <c r="A120" s="16" t="s">
        <v>56</v>
      </c>
      <c r="B120" s="225" t="str">
        <f>IF('STEP 2-WQv Calculation'!$B$4="","",'STEP 2-WQv Calculation'!$B$4)</f>
        <v/>
      </c>
    </row>
    <row r="121" spans="1:8" ht="13" x14ac:dyDescent="0.35">
      <c r="A121" s="309" t="s">
        <v>243</v>
      </c>
      <c r="B121" s="309"/>
      <c r="C121" s="309"/>
      <c r="D121" s="309"/>
      <c r="E121" s="309"/>
      <c r="F121" s="309"/>
      <c r="G121" s="309"/>
      <c r="H121" s="309"/>
    </row>
    <row r="122" spans="1:8" ht="38.5" x14ac:dyDescent="0.35">
      <c r="A122" s="204" t="s">
        <v>60</v>
      </c>
      <c r="B122" s="205" t="s">
        <v>61</v>
      </c>
      <c r="C122" s="205" t="s">
        <v>62</v>
      </c>
      <c r="D122" s="205" t="s">
        <v>63</v>
      </c>
      <c r="E122" s="205" t="s">
        <v>64</v>
      </c>
      <c r="F122" s="205" t="s">
        <v>65</v>
      </c>
      <c r="G122" s="205" t="s">
        <v>244</v>
      </c>
      <c r="H122" s="206" t="s">
        <v>13</v>
      </c>
    </row>
    <row r="123" spans="1:8" x14ac:dyDescent="0.35">
      <c r="A123" s="17"/>
      <c r="B123" s="18" t="str">
        <f>IF($A123="","",(LOOKUP($A123,'STEP 2-WQv Calculation'!$A$8:$A$37,'STEP 2-WQv Calculation'!$B$8:$B$37)))</f>
        <v/>
      </c>
      <c r="C123" s="18" t="str">
        <f>IF($A123="","",(LOOKUP($A123,'STEP 2-WQv Calculation'!$A$8:$A$37,'STEP 2-WQv Calculation'!$C$8:$C$37)))</f>
        <v/>
      </c>
      <c r="D123" s="53" t="str">
        <f>IF($A123="","",(LOOKUP($A123,'STEP 2-WQv Calculation'!$A$8:$A$37,'STEP 2-WQv Calculation'!$D$8:$D$37)))</f>
        <v/>
      </c>
      <c r="E123" s="18" t="str">
        <f>IF($A123="","",(LOOKUP($A123,'STEP 2-WQv Calculation'!$A$8:$A$37,'STEP 2-WQv Calculation'!$E$8:$E$37)))</f>
        <v/>
      </c>
      <c r="F123" s="42" t="str">
        <f>IF($A123="","",(LOOKUP($A123,'STEP 2-WQv Calculation'!$A$8:$A$37,'STEP 2-WQv Calculation'!$F$8:$F$37)))</f>
        <v/>
      </c>
      <c r="G123" s="18">
        <f>'STEP 2-WQv Calculation'!B70</f>
        <v>0</v>
      </c>
      <c r="H123" s="29" t="str">
        <f>IF($A123="","",(LOOKUP($A123,'STEP 2-WQv Calculation'!$A$8:$A$37,'STEP 2-WQv Calculation'!$G$8:$G$37)))</f>
        <v/>
      </c>
    </row>
    <row r="124" spans="1:8" ht="13" x14ac:dyDescent="0.35">
      <c r="A124" s="241" t="s">
        <v>226</v>
      </c>
      <c r="B124" s="241"/>
      <c r="C124" s="241"/>
      <c r="D124" s="241"/>
      <c r="E124" s="241"/>
      <c r="F124" s="241"/>
      <c r="G124" s="241"/>
      <c r="H124" s="241"/>
    </row>
    <row r="125" spans="1:8" x14ac:dyDescent="0.35">
      <c r="A125" s="242" t="s">
        <v>318</v>
      </c>
      <c r="B125" s="243"/>
      <c r="C125" s="243"/>
      <c r="D125" s="243"/>
      <c r="E125" s="243"/>
      <c r="F125" s="244"/>
      <c r="G125" s="218"/>
      <c r="H125" s="213" t="str">
        <f>IF(G125="YES","Amended soil required","")</f>
        <v/>
      </c>
    </row>
    <row r="126" spans="1:8" x14ac:dyDescent="0.35">
      <c r="A126" s="245" t="s">
        <v>319</v>
      </c>
      <c r="B126" s="245"/>
      <c r="C126" s="245"/>
      <c r="D126" s="245"/>
      <c r="E126" s="245"/>
      <c r="F126" s="245"/>
      <c r="G126" s="218"/>
      <c r="H126" s="213" t="str">
        <f>IF(G126="YES","Does not meet design criteria","")</f>
        <v/>
      </c>
    </row>
    <row r="127" spans="1:8" x14ac:dyDescent="0.35">
      <c r="A127" s="245" t="s">
        <v>320</v>
      </c>
      <c r="B127" s="245"/>
      <c r="C127" s="245"/>
      <c r="D127" s="245"/>
      <c r="E127" s="245"/>
      <c r="F127" s="245"/>
      <c r="G127" s="218"/>
      <c r="H127" s="213" t="str">
        <f>IF(G127&gt;75,"Does not meet design criteria","")</f>
        <v/>
      </c>
    </row>
    <row r="128" spans="1:8" x14ac:dyDescent="0.35">
      <c r="A128" s="245" t="s">
        <v>321</v>
      </c>
      <c r="B128" s="245"/>
      <c r="C128" s="245"/>
      <c r="D128" s="245"/>
      <c r="E128" s="245"/>
      <c r="F128" s="245"/>
      <c r="G128" s="218"/>
      <c r="H128" s="213" t="str">
        <f>IF(G128="","",IF(G128&lt;10,"Does not meet design criteria",""))</f>
        <v/>
      </c>
    </row>
    <row r="129" spans="1:8" x14ac:dyDescent="0.35">
      <c r="A129" s="245" t="s">
        <v>322</v>
      </c>
      <c r="B129" s="245"/>
      <c r="C129" s="245"/>
      <c r="D129" s="245"/>
      <c r="E129" s="245"/>
      <c r="F129" s="245"/>
      <c r="G129" s="218"/>
      <c r="H129" s="213" t="str">
        <f>IF(G129="","",IF(G129&lt;40,"Does not meet design criteria",""))</f>
        <v/>
      </c>
    </row>
    <row r="130" spans="1:8" x14ac:dyDescent="0.35">
      <c r="A130" s="245" t="s">
        <v>323</v>
      </c>
      <c r="B130" s="245"/>
      <c r="C130" s="245"/>
      <c r="D130" s="245"/>
      <c r="E130" s="245"/>
      <c r="F130" s="245"/>
      <c r="G130" s="218"/>
      <c r="H130" s="213" t="str">
        <f>IF(G130&gt;5,"Does not meet design criteria",IF(G130&gt;2,"Turf reinforcement required",""))</f>
        <v/>
      </c>
    </row>
    <row r="131" spans="1:8" ht="13" x14ac:dyDescent="0.35">
      <c r="A131" s="236" t="s">
        <v>240</v>
      </c>
      <c r="B131" s="237"/>
      <c r="C131" s="237"/>
      <c r="D131" s="237"/>
      <c r="E131" s="237"/>
      <c r="F131" s="237"/>
      <c r="G131" s="237"/>
      <c r="H131" s="238"/>
    </row>
    <row r="132" spans="1:8" ht="13" x14ac:dyDescent="0.35">
      <c r="A132" s="240" t="s">
        <v>241</v>
      </c>
      <c r="B132" s="240"/>
      <c r="C132" s="9">
        <f>IF(A121="","",IF(G126="YES",0,IF(G127&gt;75,0,IF(G128&lt;10,0,IF(G129&lt;40,0,IF(G130&gt;5,0,F121))))))</f>
        <v>0</v>
      </c>
      <c r="D132" s="240" t="s">
        <v>2</v>
      </c>
      <c r="E132" s="240"/>
      <c r="F132" s="240"/>
      <c r="G132" s="240"/>
      <c r="H132" s="240"/>
    </row>
  </sheetData>
  <sheetProtection algorithmName="SHA-512" hashValue="YaNYNaX3+gF7zdEpBg+h9YZegFpHUKCYkvIW5VdiC2XqyyOnJyFjyeU0tUCEY+Ejirpf9nR3oGXa1S5VdhoeLw==" saltValue="+Ihc3+5Z2dqANW0DA4YieA==" spinCount="100000" sheet="1" formatColumns="0" formatRows="0"/>
  <mergeCells count="115">
    <mergeCell ref="A128:F128"/>
    <mergeCell ref="A129:F129"/>
    <mergeCell ref="A130:F130"/>
    <mergeCell ref="A131:H131"/>
    <mergeCell ref="A132:B132"/>
    <mergeCell ref="D132:H132"/>
    <mergeCell ref="A121:H121"/>
    <mergeCell ref="A124:H124"/>
    <mergeCell ref="A125:F125"/>
    <mergeCell ref="A126:F126"/>
    <mergeCell ref="A127:F127"/>
    <mergeCell ref="A115:F115"/>
    <mergeCell ref="A116:F116"/>
    <mergeCell ref="A117:F117"/>
    <mergeCell ref="A118:H118"/>
    <mergeCell ref="A119:B119"/>
    <mergeCell ref="D119:H119"/>
    <mergeCell ref="A108:H108"/>
    <mergeCell ref="A111:H111"/>
    <mergeCell ref="A112:F112"/>
    <mergeCell ref="A113:F113"/>
    <mergeCell ref="A114:F114"/>
    <mergeCell ref="A102:F102"/>
    <mergeCell ref="A103:F103"/>
    <mergeCell ref="A104:F104"/>
    <mergeCell ref="A105:H105"/>
    <mergeCell ref="A106:B106"/>
    <mergeCell ref="D106:H106"/>
    <mergeCell ref="A95:H95"/>
    <mergeCell ref="A98:H98"/>
    <mergeCell ref="A99:F99"/>
    <mergeCell ref="A100:F100"/>
    <mergeCell ref="A101:F101"/>
    <mergeCell ref="A89:F89"/>
    <mergeCell ref="A90:F90"/>
    <mergeCell ref="A91:F91"/>
    <mergeCell ref="A92:H92"/>
    <mergeCell ref="A93:B93"/>
    <mergeCell ref="D93:H93"/>
    <mergeCell ref="A82:H82"/>
    <mergeCell ref="A85:H85"/>
    <mergeCell ref="A86:F86"/>
    <mergeCell ref="A87:F87"/>
    <mergeCell ref="A88:F88"/>
    <mergeCell ref="A76:F76"/>
    <mergeCell ref="A77:F77"/>
    <mergeCell ref="A78:F78"/>
    <mergeCell ref="A79:H79"/>
    <mergeCell ref="A80:B80"/>
    <mergeCell ref="D80:H80"/>
    <mergeCell ref="A69:H69"/>
    <mergeCell ref="A72:H72"/>
    <mergeCell ref="A73:F73"/>
    <mergeCell ref="A74:F74"/>
    <mergeCell ref="A75:F75"/>
    <mergeCell ref="I2:J2"/>
    <mergeCell ref="I3:J3"/>
    <mergeCell ref="D28:H28"/>
    <mergeCell ref="D41:H41"/>
    <mergeCell ref="A64:F64"/>
    <mergeCell ref="A56:H56"/>
    <mergeCell ref="A59:H59"/>
    <mergeCell ref="A50:F50"/>
    <mergeCell ref="A51:F51"/>
    <mergeCell ref="A52:F52"/>
    <mergeCell ref="A53:H53"/>
    <mergeCell ref="A54:B54"/>
    <mergeCell ref="D54:H54"/>
    <mergeCell ref="A47:F47"/>
    <mergeCell ref="A48:F48"/>
    <mergeCell ref="A49:F49"/>
    <mergeCell ref="A43:H43"/>
    <mergeCell ref="A41:B41"/>
    <mergeCell ref="A36:F36"/>
    <mergeCell ref="A37:F37"/>
    <mergeCell ref="A38:F38"/>
    <mergeCell ref="A39:F39"/>
    <mergeCell ref="A40:H40"/>
    <mergeCell ref="A33:H33"/>
    <mergeCell ref="A65:F65"/>
    <mergeCell ref="A66:H66"/>
    <mergeCell ref="A67:B67"/>
    <mergeCell ref="D67:H67"/>
    <mergeCell ref="A60:F60"/>
    <mergeCell ref="A61:F61"/>
    <mergeCell ref="A62:F62"/>
    <mergeCell ref="A63:F63"/>
    <mergeCell ref="A46:H46"/>
    <mergeCell ref="A35:F35"/>
    <mergeCell ref="A30:H30"/>
    <mergeCell ref="A27:H27"/>
    <mergeCell ref="A28:B28"/>
    <mergeCell ref="A22:F22"/>
    <mergeCell ref="A23:F23"/>
    <mergeCell ref="A24:F24"/>
    <mergeCell ref="A25:F25"/>
    <mergeCell ref="A26:F26"/>
    <mergeCell ref="A21:F21"/>
    <mergeCell ref="A14:H14"/>
    <mergeCell ref="A15:B15"/>
    <mergeCell ref="D15:H15"/>
    <mergeCell ref="I10:M10"/>
    <mergeCell ref="A13:F13"/>
    <mergeCell ref="A11:F11"/>
    <mergeCell ref="A12:F12"/>
    <mergeCell ref="A34:F34"/>
    <mergeCell ref="A9:F9"/>
    <mergeCell ref="A10:F10"/>
    <mergeCell ref="A2:H2"/>
    <mergeCell ref="A5:H5"/>
    <mergeCell ref="A6:H6"/>
    <mergeCell ref="D7:H7"/>
    <mergeCell ref="A8:F8"/>
    <mergeCell ref="A17:H17"/>
    <mergeCell ref="A20:H20"/>
  </mergeCells>
  <dataValidations count="3">
    <dataValidation type="list" showInputMessage="1" showErrorMessage="1" promptTitle="Choose Area" sqref="A4 A45 A19 A32 A58 A71 A84 A97 A110 A123" xr:uid="{16CCAD6B-3EF3-44EB-BA4D-9FC1760321AD}">
      <formula1>CatchNo</formula1>
    </dataValidation>
    <dataValidation type="list" showInputMessage="1" showErrorMessage="1" promptTitle="Yes or No?" sqref="G8:G9 G47:G48 G21:G22 G34:G35 G60:G61 G73:G74 G86:G87 G99:G100 G112:G113 G125:G126" xr:uid="{09018D7C-6E73-4409-B140-5AE21C6294CE}">
      <formula1>YesNo</formula1>
    </dataValidation>
    <dataValidation type="decimal" operator="greaterThan" allowBlank="1" showInputMessage="1" showErrorMessage="1" sqref="G23:G26 G36:G39 G49:G52 G62:G65 G10:G13 G75:G78 G88:G91 G101:G104 G114:G117 G127:G130" xr:uid="{3A837CF8-A865-49A5-96D6-8797F72AE652}">
      <formula1>0</formula1>
    </dataValidation>
  </dataValidations>
  <pageMargins left="0.5" right="0.5" top="0.75" bottom="0.5" header="0.3" footer="0.3"/>
  <pageSetup paperSize="278" orientation="portrait" r:id="rId1"/>
  <headerFooter>
    <oddHeader>&amp;C&amp;"Arial,Regular"&amp;18Disconnection of Rooftop Runoff (RR-4)</oddHeader>
  </headerFooter>
  <rowBreaks count="10" manualBreakCount="10">
    <brk id="15" max="16383" man="1"/>
    <brk id="28" max="16383" man="1"/>
    <brk id="41" max="16383" man="1"/>
    <brk id="54" max="16383" man="1"/>
    <brk id="67" max="16383" man="1"/>
    <brk id="80" max="16383" man="1"/>
    <brk id="93" max="16383" man="1"/>
    <brk id="106" max="16383" man="1"/>
    <brk id="119" max="16383" man="1"/>
    <brk id="13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dimension ref="A1:Y340"/>
  <sheetViews>
    <sheetView view="pageLayout" zoomScaleNormal="100" workbookViewId="0">
      <selection activeCell="K5" sqref="K5"/>
    </sheetView>
  </sheetViews>
  <sheetFormatPr defaultColWidth="9.1796875" defaultRowHeight="14.5" x14ac:dyDescent="0.35"/>
  <cols>
    <col min="1" max="1" width="12.7265625" style="1" customWidth="1"/>
    <col min="2" max="2" width="12" style="1" customWidth="1"/>
    <col min="3" max="3" width="11.453125" style="1" customWidth="1"/>
    <col min="4" max="4" width="10.7265625" style="1" customWidth="1"/>
    <col min="5" max="5" width="7.54296875" style="138" customWidth="1"/>
    <col min="6" max="6" width="7.54296875" style="1" customWidth="1"/>
    <col min="7" max="7" width="12.54296875" style="1" customWidth="1"/>
    <col min="8" max="8" width="14" style="1" customWidth="1"/>
    <col min="9" max="9" width="11.453125" style="1" bestFit="1" customWidth="1"/>
    <col min="10" max="16384" width="9.1796875" style="1"/>
  </cols>
  <sheetData>
    <row r="1" spans="1:25" ht="13.9" customHeight="1" x14ac:dyDescent="0.35">
      <c r="A1" s="16" t="s">
        <v>56</v>
      </c>
      <c r="B1" s="225" t="str">
        <f>IF('STEP 2-WQv Calculation'!$B$4="","",'STEP 2-WQv Calculation'!$B$4)</f>
        <v/>
      </c>
      <c r="C1" s="4"/>
      <c r="D1" s="4"/>
      <c r="E1" s="4" t="s">
        <v>324</v>
      </c>
      <c r="F1" s="4"/>
      <c r="G1" s="4"/>
      <c r="H1" s="4"/>
      <c r="I1" s="21"/>
    </row>
    <row r="2" spans="1:25" ht="15" customHeight="1" x14ac:dyDescent="0.35">
      <c r="A2" s="273" t="s">
        <v>293</v>
      </c>
      <c r="B2" s="273"/>
      <c r="C2" s="273"/>
      <c r="D2" s="273"/>
      <c r="E2" s="273"/>
      <c r="F2" s="273"/>
      <c r="G2" s="273"/>
      <c r="H2" s="273"/>
      <c r="I2" s="255" t="s">
        <v>219</v>
      </c>
      <c r="J2" s="256"/>
      <c r="K2" s="49">
        <f>SUM(B4,B38,B72,B106,B140,B174,B208,B242,B276,B310)</f>
        <v>0</v>
      </c>
      <c r="L2" s="12" t="s">
        <v>223</v>
      </c>
      <c r="M2" s="4"/>
      <c r="N2" s="49"/>
      <c r="O2" s="12"/>
    </row>
    <row r="3" spans="1:25" ht="46.75" customHeight="1" x14ac:dyDescent="0.35">
      <c r="A3" s="204" t="s">
        <v>60</v>
      </c>
      <c r="B3" s="205" t="s">
        <v>61</v>
      </c>
      <c r="C3" s="205" t="s">
        <v>62</v>
      </c>
      <c r="D3" s="205" t="s">
        <v>63</v>
      </c>
      <c r="E3" s="205" t="s">
        <v>64</v>
      </c>
      <c r="F3" s="205" t="s">
        <v>65</v>
      </c>
      <c r="G3" s="205" t="s">
        <v>244</v>
      </c>
      <c r="H3" s="206" t="s">
        <v>13</v>
      </c>
      <c r="I3" s="255" t="s">
        <v>245</v>
      </c>
      <c r="J3" s="256"/>
      <c r="K3" s="21">
        <f>SUM(C4,C38,C72,C106,C140,C174,C208,C242,C276,C310)</f>
        <v>0</v>
      </c>
      <c r="L3" s="12" t="s">
        <v>223</v>
      </c>
      <c r="M3" s="4"/>
      <c r="N3" s="28"/>
      <c r="O3" s="12"/>
    </row>
    <row r="4" spans="1:25"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c r="I4" s="255" t="s">
        <v>227</v>
      </c>
      <c r="J4" s="256"/>
      <c r="K4" s="28">
        <f>SUM(D34,D68,D102,D136,D170,D204,D238,D272,D306,D340)</f>
        <v>0</v>
      </c>
      <c r="L4" s="12" t="s">
        <v>2</v>
      </c>
      <c r="M4" s="4"/>
      <c r="N4" s="28"/>
      <c r="O4" s="12"/>
    </row>
    <row r="5" spans="1:25" s="4" customFormat="1" ht="13.15" customHeight="1" x14ac:dyDescent="0.3">
      <c r="A5" s="360" t="s">
        <v>226</v>
      </c>
      <c r="B5" s="361"/>
      <c r="C5" s="361"/>
      <c r="D5" s="361"/>
      <c r="E5" s="361"/>
      <c r="F5" s="361"/>
      <c r="G5" s="361"/>
      <c r="H5" s="362"/>
    </row>
    <row r="6" spans="1:25" s="4" customFormat="1" ht="15" customHeight="1" x14ac:dyDescent="0.25">
      <c r="A6" s="354" t="s">
        <v>325</v>
      </c>
      <c r="B6" s="355"/>
      <c r="C6" s="356"/>
      <c r="D6" s="139"/>
      <c r="E6" s="357"/>
      <c r="F6" s="358"/>
      <c r="G6" s="358"/>
      <c r="H6" s="359"/>
    </row>
    <row r="7" spans="1:25" s="4" customFormat="1" ht="12.75" customHeight="1" x14ac:dyDescent="0.25">
      <c r="A7" s="242" t="s">
        <v>326</v>
      </c>
      <c r="B7" s="243"/>
      <c r="C7" s="244"/>
      <c r="D7" s="135" t="str">
        <f>IF(B4="","",IF(B4&gt;5,"Yes","No"))</f>
        <v/>
      </c>
      <c r="E7" s="322" t="str">
        <f>IF(D7="Yes","Does not meet design criteria","")</f>
        <v/>
      </c>
      <c r="F7" s="323"/>
      <c r="G7" s="323"/>
      <c r="H7" s="324"/>
    </row>
    <row r="8" spans="1:25" ht="26.5" customHeight="1" x14ac:dyDescent="0.35">
      <c r="A8" s="245" t="s">
        <v>247</v>
      </c>
      <c r="B8" s="245"/>
      <c r="C8" s="245"/>
      <c r="D8" s="211"/>
      <c r="E8" s="322" t="str">
        <f>IF(D8="","This practice cannot be used for hotspot treatment",IF(D8="Yes","Does not meet design criteria",""))</f>
        <v>This practice cannot be used for hotspot treatment</v>
      </c>
      <c r="F8" s="323"/>
      <c r="G8" s="323"/>
      <c r="H8" s="324"/>
      <c r="I8" s="4"/>
      <c r="M8" s="4"/>
    </row>
    <row r="9" spans="1:25" ht="13.15" customHeight="1" x14ac:dyDescent="0.35">
      <c r="A9" s="273" t="s">
        <v>232</v>
      </c>
      <c r="B9" s="273"/>
      <c r="C9" s="273"/>
      <c r="D9" s="273"/>
      <c r="E9" s="273"/>
      <c r="F9" s="273"/>
      <c r="G9" s="273"/>
      <c r="H9" s="273"/>
      <c r="I9" s="4"/>
      <c r="M9" s="4"/>
    </row>
    <row r="10" spans="1:25" s="4" customFormat="1" ht="15" customHeight="1" x14ac:dyDescent="0.3">
      <c r="A10" s="346"/>
      <c r="B10" s="347"/>
      <c r="C10" s="348"/>
      <c r="D10" s="47" t="s">
        <v>256</v>
      </c>
      <c r="E10" s="48" t="s">
        <v>257</v>
      </c>
      <c r="F10" s="349" t="s">
        <v>258</v>
      </c>
      <c r="G10" s="350"/>
      <c r="H10" s="351"/>
    </row>
    <row r="11" spans="1:25" customFormat="1" ht="26.25" customHeight="1" x14ac:dyDescent="0.35">
      <c r="A11" s="352" t="s">
        <v>327</v>
      </c>
      <c r="B11" s="353"/>
      <c r="C11" s="198" t="s">
        <v>328</v>
      </c>
      <c r="D11" s="51"/>
      <c r="E11" s="136" t="s">
        <v>329</v>
      </c>
      <c r="F11" s="344" t="str">
        <f>IF(D11="","Taken from hydrologic modeling",IF(D11&gt;3,"Does not meet design criteria",""))</f>
        <v>Taken from hydrologic modeling</v>
      </c>
      <c r="G11" s="344"/>
      <c r="H11" s="344"/>
      <c r="I11" s="1"/>
      <c r="J11" s="1"/>
      <c r="K11" s="1"/>
      <c r="L11" s="1"/>
      <c r="M11" s="4"/>
      <c r="N11" s="1"/>
      <c r="O11" s="1"/>
      <c r="P11" s="1"/>
      <c r="Q11" s="1"/>
      <c r="R11" s="1"/>
      <c r="S11" s="1"/>
      <c r="T11" s="1"/>
      <c r="U11" s="1"/>
      <c r="V11" s="1"/>
      <c r="W11" s="1"/>
      <c r="X11" s="1"/>
      <c r="Y11" s="1"/>
    </row>
    <row r="12" spans="1:25" customFormat="1" ht="14.5" customHeight="1" x14ac:dyDescent="0.35">
      <c r="A12" s="342" t="s">
        <v>331</v>
      </c>
      <c r="B12" s="343"/>
      <c r="C12" s="198" t="s">
        <v>332</v>
      </c>
      <c r="D12" s="51"/>
      <c r="E12" s="192" t="s">
        <v>271</v>
      </c>
      <c r="F12" s="345" t="str">
        <f>IF(D12&lt;2,"Does not meet design criteria",IF(D12&gt;6,"Does not meet design criteria",""))</f>
        <v>Does not meet design criteria</v>
      </c>
      <c r="G12" s="345"/>
      <c r="H12" s="345"/>
      <c r="I12" s="1"/>
      <c r="J12" s="1"/>
      <c r="K12" s="1"/>
      <c r="L12" s="1"/>
      <c r="M12" s="1"/>
      <c r="N12" s="1"/>
      <c r="O12" s="1"/>
      <c r="P12" s="1"/>
      <c r="Q12" s="1"/>
      <c r="R12" s="1"/>
      <c r="S12" s="1"/>
      <c r="T12" s="1"/>
      <c r="U12" s="1"/>
      <c r="V12" s="1"/>
      <c r="W12" s="1"/>
      <c r="X12" s="1"/>
      <c r="Y12" s="1"/>
    </row>
    <row r="13" spans="1:25" customFormat="1" ht="14.5" customHeight="1" x14ac:dyDescent="0.35">
      <c r="A13" s="342" t="s">
        <v>333</v>
      </c>
      <c r="B13" s="343"/>
      <c r="C13" s="198" t="s">
        <v>334</v>
      </c>
      <c r="D13" s="51"/>
      <c r="E13" s="192" t="s">
        <v>271</v>
      </c>
      <c r="F13" s="344" t="str">
        <f>IF(D13="","Taken from hydrologic modeling", IF(D13&gt;0.3333,"Does not meet design criteria",""))</f>
        <v>Taken from hydrologic modeling</v>
      </c>
      <c r="G13" s="344"/>
      <c r="H13" s="344"/>
      <c r="I13" s="1"/>
      <c r="J13" s="1"/>
      <c r="K13" s="1"/>
      <c r="L13" s="1"/>
      <c r="M13" s="1"/>
      <c r="N13" s="1"/>
      <c r="O13" s="1"/>
      <c r="P13" s="1"/>
      <c r="Q13" s="1"/>
      <c r="R13" s="1"/>
      <c r="S13" s="1"/>
      <c r="T13" s="1"/>
      <c r="U13" s="1"/>
      <c r="V13" s="1"/>
      <c r="W13" s="1"/>
      <c r="X13" s="1"/>
      <c r="Y13" s="1"/>
    </row>
    <row r="14" spans="1:25" customFormat="1" ht="25.5" customHeight="1" x14ac:dyDescent="0.35">
      <c r="A14" s="342" t="s">
        <v>335</v>
      </c>
      <c r="B14" s="343"/>
      <c r="C14" s="198" t="s">
        <v>336</v>
      </c>
      <c r="D14" s="51"/>
      <c r="E14" s="192" t="s">
        <v>337</v>
      </c>
      <c r="F14" s="345" t="str">
        <f>IF(D14="","",IF(D14&lt;3,"Does not meet design criteria",""))</f>
        <v/>
      </c>
      <c r="G14" s="345"/>
      <c r="H14" s="345"/>
      <c r="I14" s="1"/>
      <c r="J14" s="1"/>
      <c r="K14" s="1"/>
      <c r="L14" s="1"/>
      <c r="M14" s="1"/>
      <c r="N14" s="1"/>
      <c r="O14" s="1"/>
      <c r="P14" s="1"/>
      <c r="Q14" s="1"/>
      <c r="R14" s="1"/>
      <c r="S14" s="1"/>
      <c r="T14" s="1"/>
      <c r="U14" s="1"/>
      <c r="V14" s="1"/>
      <c r="W14" s="1"/>
      <c r="X14" s="1"/>
      <c r="Y14" s="1"/>
    </row>
    <row r="15" spans="1:25" customFormat="1" ht="13.15" customHeight="1" x14ac:dyDescent="0.35">
      <c r="A15" s="342" t="s">
        <v>338</v>
      </c>
      <c r="B15" s="343"/>
      <c r="C15" s="198" t="s">
        <v>339</v>
      </c>
      <c r="D15" s="137">
        <f>D12+(2)*(D14)*(D13)</f>
        <v>0</v>
      </c>
      <c r="E15" s="192" t="s">
        <v>271</v>
      </c>
      <c r="F15" s="344"/>
      <c r="G15" s="344"/>
      <c r="H15" s="344"/>
      <c r="I15" s="1"/>
      <c r="J15" s="1"/>
      <c r="K15" s="1"/>
      <c r="L15" s="1"/>
      <c r="M15" s="1"/>
      <c r="N15" s="1"/>
      <c r="O15" s="1"/>
      <c r="P15" s="1"/>
      <c r="Q15" s="1"/>
      <c r="R15" s="1"/>
      <c r="S15" s="1"/>
      <c r="T15" s="1"/>
      <c r="U15" s="1"/>
      <c r="V15" s="1"/>
      <c r="W15" s="1"/>
      <c r="X15" s="1"/>
      <c r="Y15" s="1"/>
    </row>
    <row r="16" spans="1:25" customFormat="1" ht="14.5" customHeight="1" x14ac:dyDescent="0.35">
      <c r="A16" s="342" t="s">
        <v>340</v>
      </c>
      <c r="B16" s="343"/>
      <c r="C16" s="198" t="s">
        <v>341</v>
      </c>
      <c r="D16" s="137">
        <f>D12+(((D13^2)+(D14*D13)^2)^0.5)*2</f>
        <v>0</v>
      </c>
      <c r="E16" s="192" t="s">
        <v>271</v>
      </c>
      <c r="F16" s="344"/>
      <c r="G16" s="344"/>
      <c r="H16" s="344"/>
      <c r="I16" s="1"/>
      <c r="J16" s="1"/>
      <c r="K16" s="1"/>
      <c r="L16" s="1"/>
      <c r="M16" s="1"/>
      <c r="N16" s="1"/>
      <c r="O16" s="1"/>
      <c r="P16" s="1"/>
      <c r="Q16" s="1"/>
      <c r="R16" s="1"/>
      <c r="S16" s="1"/>
      <c r="T16" s="1"/>
      <c r="U16" s="1"/>
      <c r="V16" s="1"/>
      <c r="W16" s="1"/>
      <c r="X16" s="1"/>
      <c r="Y16" s="1"/>
    </row>
    <row r="17" spans="1:25" customFormat="1" ht="14.25" customHeight="1" x14ac:dyDescent="0.35">
      <c r="A17" s="342" t="s">
        <v>342</v>
      </c>
      <c r="B17" s="343"/>
      <c r="C17" s="198" t="s">
        <v>343</v>
      </c>
      <c r="D17" s="137">
        <f>(D13*(D12+D15))/2</f>
        <v>0</v>
      </c>
      <c r="E17" s="192" t="s">
        <v>316</v>
      </c>
      <c r="F17" s="344"/>
      <c r="G17" s="344"/>
      <c r="H17" s="344"/>
      <c r="I17" s="1"/>
      <c r="J17" s="1"/>
      <c r="K17" s="1"/>
      <c r="L17" s="1"/>
      <c r="M17" s="1"/>
      <c r="N17" s="1"/>
      <c r="O17" s="1"/>
      <c r="P17" s="1"/>
      <c r="Q17" s="1"/>
      <c r="R17" s="1"/>
      <c r="S17" s="1"/>
      <c r="T17" s="1"/>
      <c r="U17" s="1"/>
      <c r="V17" s="1"/>
      <c r="W17" s="1"/>
      <c r="X17" s="1"/>
      <c r="Y17" s="1"/>
    </row>
    <row r="18" spans="1:25" customFormat="1" ht="27.75" customHeight="1" x14ac:dyDescent="0.35">
      <c r="A18" s="342" t="s">
        <v>344</v>
      </c>
      <c r="B18" s="343"/>
      <c r="C18" s="198" t="s">
        <v>345</v>
      </c>
      <c r="D18" s="137" t="str">
        <f>IF(D11="","",D11/D17)</f>
        <v/>
      </c>
      <c r="E18" s="192" t="s">
        <v>346</v>
      </c>
      <c r="F18" s="344" t="str">
        <f>IF(D18&gt;1,"Does not meet design criteria","")</f>
        <v>Does not meet design criteria</v>
      </c>
      <c r="G18" s="344"/>
      <c r="H18" s="344"/>
      <c r="I18" s="1"/>
      <c r="J18" s="1"/>
      <c r="K18" s="1"/>
      <c r="L18" s="1"/>
      <c r="M18" s="1"/>
      <c r="N18" s="1"/>
      <c r="O18" s="1"/>
      <c r="P18" s="1"/>
      <c r="Q18" s="1"/>
      <c r="R18" s="1"/>
      <c r="S18" s="1"/>
      <c r="T18" s="1"/>
      <c r="U18" s="1"/>
      <c r="V18" s="1"/>
      <c r="W18" s="1"/>
      <c r="X18" s="1"/>
      <c r="Y18" s="1"/>
    </row>
    <row r="19" spans="1:25" ht="15" customHeight="1" x14ac:dyDescent="0.35">
      <c r="A19" s="342" t="s">
        <v>347</v>
      </c>
      <c r="B19" s="343"/>
      <c r="C19" s="198"/>
      <c r="D19" s="50"/>
      <c r="E19" s="192" t="s">
        <v>261</v>
      </c>
      <c r="F19" s="344"/>
      <c r="G19" s="344"/>
      <c r="H19" s="344"/>
      <c r="I19" s="4"/>
    </row>
    <row r="20" spans="1:25" ht="15" customHeight="1" x14ac:dyDescent="0.35">
      <c r="A20" s="343" t="s">
        <v>348</v>
      </c>
      <c r="B20" s="285"/>
      <c r="C20" s="198" t="s">
        <v>349</v>
      </c>
      <c r="D20" s="137" t="e">
        <f>IF((D19*60*D18)&lt;100,100,(D19*60*D18))</f>
        <v>#VALUE!</v>
      </c>
      <c r="E20" s="192" t="s">
        <v>271</v>
      </c>
      <c r="F20" s="344"/>
      <c r="G20" s="344"/>
      <c r="H20" s="344"/>
      <c r="I20" s="4"/>
    </row>
    <row r="21" spans="1:25" ht="15" customHeight="1" x14ac:dyDescent="0.35">
      <c r="A21" s="343" t="s">
        <v>350</v>
      </c>
      <c r="B21" s="285"/>
      <c r="C21" s="198" t="s">
        <v>351</v>
      </c>
      <c r="D21" s="50"/>
      <c r="E21" s="192" t="s">
        <v>271</v>
      </c>
      <c r="F21" s="344" t="str">
        <f>IF(D21="","",IF(D21&lt;D20,"Does not meet design criteria",""))</f>
        <v/>
      </c>
      <c r="G21" s="344"/>
      <c r="H21" s="344"/>
      <c r="I21" s="4"/>
    </row>
    <row r="22" spans="1:25" ht="15" customHeight="1" x14ac:dyDescent="0.35">
      <c r="A22" s="343" t="s">
        <v>352</v>
      </c>
      <c r="B22" s="285"/>
      <c r="C22" s="198" t="s">
        <v>353</v>
      </c>
      <c r="D22" s="50"/>
      <c r="E22" s="192" t="s">
        <v>266</v>
      </c>
      <c r="F22" s="344" t="str">
        <f>IF(D22&lt;0.005,"Does not meet design criteria",IF(D22&gt;0.04,"Does not meet design criteria",""))</f>
        <v>Does not meet design criteria</v>
      </c>
      <c r="G22" s="344"/>
      <c r="H22" s="344"/>
      <c r="I22" s="4"/>
    </row>
    <row r="23" spans="1:25" ht="15" customHeight="1" x14ac:dyDescent="0.35">
      <c r="A23" s="342" t="s">
        <v>354</v>
      </c>
      <c r="B23" s="342"/>
      <c r="C23" s="198" t="s">
        <v>355</v>
      </c>
      <c r="D23" s="140"/>
      <c r="E23" s="192" t="s">
        <v>271</v>
      </c>
      <c r="F23" s="345"/>
      <c r="G23" s="345"/>
      <c r="H23" s="345"/>
      <c r="I23" s="4"/>
    </row>
    <row r="24" spans="1:25" ht="15" customHeight="1" x14ac:dyDescent="0.35">
      <c r="A24" s="343" t="s">
        <v>356</v>
      </c>
      <c r="B24" s="363"/>
      <c r="C24" s="198" t="s">
        <v>357</v>
      </c>
      <c r="D24" s="62" t="str">
        <f>IF(D22="","",D23/D22)</f>
        <v/>
      </c>
      <c r="E24" s="192" t="s">
        <v>271</v>
      </c>
      <c r="F24" s="345"/>
      <c r="G24" s="345"/>
      <c r="H24" s="345"/>
      <c r="I24" s="4"/>
    </row>
    <row r="25" spans="1:25" ht="27.4" customHeight="1" x14ac:dyDescent="0.35">
      <c r="A25" s="342" t="s">
        <v>358</v>
      </c>
      <c r="B25" s="342"/>
      <c r="C25" s="198" t="s">
        <v>217</v>
      </c>
      <c r="D25" s="62" t="str">
        <f>IF(D24="","",D21/D24)</f>
        <v/>
      </c>
      <c r="E25" s="192"/>
      <c r="F25" s="345"/>
      <c r="G25" s="345"/>
      <c r="H25" s="345"/>
      <c r="I25" s="4"/>
    </row>
    <row r="26" spans="1:25" ht="15" customHeight="1" x14ac:dyDescent="0.35">
      <c r="A26" s="342" t="s">
        <v>359</v>
      </c>
      <c r="B26" s="342"/>
      <c r="C26" s="198" t="s">
        <v>360</v>
      </c>
      <c r="D26" s="140"/>
      <c r="E26" s="192" t="s">
        <v>271</v>
      </c>
      <c r="F26" s="344" t="str">
        <f>IF(D26="","Taken from hydrologic modeling","")</f>
        <v>Taken from hydrologic modeling</v>
      </c>
      <c r="G26" s="344"/>
      <c r="H26" s="344"/>
      <c r="I26" s="4"/>
    </row>
    <row r="27" spans="1:25" ht="15" customHeight="1" x14ac:dyDescent="0.35">
      <c r="A27" s="342" t="s">
        <v>361</v>
      </c>
      <c r="B27" s="342"/>
      <c r="C27" s="198" t="s">
        <v>362</v>
      </c>
      <c r="D27" s="62">
        <f>D12+(2)*(D14)*(D26)</f>
        <v>0</v>
      </c>
      <c r="E27" s="192" t="s">
        <v>271</v>
      </c>
      <c r="F27" s="345"/>
      <c r="G27" s="345"/>
      <c r="H27" s="345"/>
      <c r="I27" s="4"/>
    </row>
    <row r="28" spans="1:25" ht="15" customHeight="1" x14ac:dyDescent="0.35">
      <c r="A28" s="342" t="s">
        <v>363</v>
      </c>
      <c r="B28" s="342"/>
      <c r="C28" s="198" t="s">
        <v>364</v>
      </c>
      <c r="D28" s="62">
        <f>(D26*(D12+D27))/2</f>
        <v>0</v>
      </c>
      <c r="E28" s="192" t="s">
        <v>316</v>
      </c>
      <c r="F28" s="345"/>
      <c r="G28" s="345"/>
      <c r="H28" s="345"/>
      <c r="I28" s="4"/>
    </row>
    <row r="29" spans="1:25" ht="15" customHeight="1" x14ac:dyDescent="0.35">
      <c r="A29" s="342" t="s">
        <v>365</v>
      </c>
      <c r="B29" s="342"/>
      <c r="C29" s="198" t="s">
        <v>366</v>
      </c>
      <c r="D29" s="62">
        <f>D12+(((D26^2)+(D14*D26)^2)^0.5)*2</f>
        <v>0</v>
      </c>
      <c r="E29" s="192" t="s">
        <v>271</v>
      </c>
      <c r="F29" s="345"/>
      <c r="G29" s="345"/>
      <c r="H29" s="345"/>
      <c r="I29" s="4"/>
    </row>
    <row r="30" spans="1:25" ht="15" customHeight="1" x14ac:dyDescent="0.35">
      <c r="A30" s="342" t="s">
        <v>367</v>
      </c>
      <c r="B30" s="342"/>
      <c r="C30" s="198" t="s">
        <v>268</v>
      </c>
      <c r="D30" s="140"/>
      <c r="E30" s="192"/>
      <c r="F30" s="345" t="str">
        <f>IF(AND(D30&gt;=0.03,D30&lt;=0.15),"","0.03 to 0.15 (Refer to Appendix G)")</f>
        <v>0.03 to 0.15 (Refer to Appendix G)</v>
      </c>
      <c r="G30" s="345"/>
      <c r="H30" s="345"/>
      <c r="I30" s="4"/>
    </row>
    <row r="31" spans="1:25" ht="24" customHeight="1" x14ac:dyDescent="0.35">
      <c r="A31" s="342" t="s">
        <v>369</v>
      </c>
      <c r="B31" s="342"/>
      <c r="C31" s="198" t="s">
        <v>370</v>
      </c>
      <c r="D31" s="62" t="str">
        <f>IF(D30="","",(1.49/D30)*((D28/D29)^(2/3))*(D22^0.5))</f>
        <v/>
      </c>
      <c r="E31" s="192" t="s">
        <v>346</v>
      </c>
      <c r="F31" s="345" t="str">
        <f>IF(D31="","",IF(D31&gt;5,"Does not meet design criteria",""))</f>
        <v/>
      </c>
      <c r="G31" s="345"/>
      <c r="H31" s="345"/>
      <c r="I31" s="4"/>
    </row>
    <row r="32" spans="1:25" ht="26.25" customHeight="1" x14ac:dyDescent="0.35">
      <c r="A32" s="342" t="s">
        <v>371</v>
      </c>
      <c r="B32" s="342"/>
      <c r="C32" s="198"/>
      <c r="D32" s="140"/>
      <c r="E32" s="192" t="s">
        <v>271</v>
      </c>
      <c r="F32" s="345" t="str">
        <f>IF(D32="","Taken from hydrologic modeling",IF(D32&lt;0.5,"Does not meet design criteria",""))</f>
        <v>Taken from hydrologic modeling</v>
      </c>
      <c r="G32" s="345"/>
      <c r="H32" s="345"/>
      <c r="I32" s="4"/>
    </row>
    <row r="33" spans="1:9" ht="15" customHeight="1" x14ac:dyDescent="0.35">
      <c r="A33" s="337" t="s">
        <v>372</v>
      </c>
      <c r="B33" s="337"/>
      <c r="C33" s="337"/>
      <c r="D33" s="337"/>
      <c r="E33" s="338"/>
      <c r="F33" s="338"/>
      <c r="G33" s="338"/>
      <c r="H33" s="338"/>
      <c r="I33" s="4"/>
    </row>
    <row r="34" spans="1:9" ht="15" customHeight="1" x14ac:dyDescent="0.35">
      <c r="A34" s="240" t="s">
        <v>241</v>
      </c>
      <c r="B34" s="240"/>
      <c r="C34" s="240"/>
      <c r="D34" s="9" t="str">
        <f>IF(A4="","",IF(D8="Yes",0,IF(D7="Yes",0,IF(D11&gt;3,0,IF(D12&lt;2,0,IF(D12&gt;6,0,IF(D13&gt;0.33,0,IF(D14&lt;3,0,IF(D18&gt;1,0,IF(D22&lt;0.005,0,IF(D22&gt;0.04,0,IF(D21&lt;100,0,IF(D31&gt;5,0,IF(D32&lt;0.5,0,IF(D21&lt;D20,0,IF(D6="A",F4*0.2,IF(D6="B",F4*0.2,IF(D6="C",F4*0.1,IF(D6="D",F4*0.1,IF(D6="Modified C",F4*0.15,IF(D6="Modified D",F4*0.12)))))))))))))))))))))</f>
        <v/>
      </c>
      <c r="E34" s="339" t="s">
        <v>2</v>
      </c>
      <c r="F34" s="340"/>
      <c r="G34" s="340"/>
      <c r="H34" s="341"/>
      <c r="I34" s="4"/>
    </row>
    <row r="35" spans="1:9" ht="14.25" customHeight="1" x14ac:dyDescent="0.35">
      <c r="A35" s="16" t="s">
        <v>56</v>
      </c>
      <c r="B35" s="225" t="str">
        <f>IF('STEP 2-WQv Calculation'!$B$4="","",'STEP 2-WQv Calculation'!$B$4)</f>
        <v/>
      </c>
      <c r="C35" s="4"/>
      <c r="D35" s="4"/>
      <c r="E35" s="4" t="s">
        <v>324</v>
      </c>
      <c r="F35" s="4"/>
      <c r="G35" s="4"/>
      <c r="H35" s="4"/>
    </row>
    <row r="36" spans="1:9" ht="14.5" customHeight="1" x14ac:dyDescent="0.35">
      <c r="A36" s="273" t="s">
        <v>293</v>
      </c>
      <c r="B36" s="273"/>
      <c r="C36" s="273"/>
      <c r="D36" s="273"/>
      <c r="E36" s="273"/>
      <c r="F36" s="273"/>
      <c r="G36" s="273"/>
      <c r="H36" s="273"/>
    </row>
    <row r="37" spans="1:9" ht="38.5" x14ac:dyDescent="0.35">
      <c r="A37" s="204" t="s">
        <v>60</v>
      </c>
      <c r="B37" s="205" t="s">
        <v>61</v>
      </c>
      <c r="C37" s="205" t="s">
        <v>62</v>
      </c>
      <c r="D37" s="205" t="s">
        <v>63</v>
      </c>
      <c r="E37" s="205" t="s">
        <v>64</v>
      </c>
      <c r="F37" s="205" t="s">
        <v>65</v>
      </c>
      <c r="G37" s="205" t="s">
        <v>244</v>
      </c>
      <c r="H37" s="206" t="s">
        <v>13</v>
      </c>
    </row>
    <row r="38" spans="1:9" x14ac:dyDescent="0.35">
      <c r="A38" s="218"/>
      <c r="B38" s="3" t="str">
        <f>IF($A38="","",(LOOKUP($A38,'STEP 2-WQv Calculation'!$A$8:$A$37,'STEP 2-WQv Calculation'!$B$8:$B$37)))</f>
        <v/>
      </c>
      <c r="C38" s="3" t="str">
        <f>IF($A38="","",(LOOKUP($A38,'STEP 2-WQv Calculation'!$A$8:$A$37,'STEP 2-WQv Calculation'!$C$8:$C$37)))</f>
        <v/>
      </c>
      <c r="D38" s="212" t="str">
        <f>IF($A38="","",(LOOKUP($A38,'STEP 2-WQv Calculation'!$A$8:$A$37,'STEP 2-WQv Calculation'!$D$8:$D$37)))</f>
        <v/>
      </c>
      <c r="E38" s="3" t="str">
        <f>IF($A38="","",(LOOKUP($A38,'STEP 2-WQv Calculation'!$A$8:$A$37,'STEP 2-WQv Calculation'!$E$8:$E$37)))</f>
        <v/>
      </c>
      <c r="F38" s="217" t="str">
        <f>IF($A38="","",(LOOKUP($A38,'STEP 2-WQv Calculation'!$A$8:$A$37,'STEP 2-WQv Calculation'!$F$8:$F$37)))</f>
        <v/>
      </c>
      <c r="G38" s="22">
        <f>'STEP 2-WQv Calculation'!B5</f>
        <v>0</v>
      </c>
      <c r="H38" s="198" t="str">
        <f>IF($A38="","",(LOOKUP($A38,'STEP 2-WQv Calculation'!$A$8:$A$37,'STEP 2-WQv Calculation'!$G$8:$G$37)))</f>
        <v/>
      </c>
    </row>
    <row r="39" spans="1:9" ht="14.5" customHeight="1" x14ac:dyDescent="0.35">
      <c r="A39" s="360" t="s">
        <v>226</v>
      </c>
      <c r="B39" s="361"/>
      <c r="C39" s="361"/>
      <c r="D39" s="361"/>
      <c r="E39" s="361"/>
      <c r="F39" s="361"/>
      <c r="G39" s="361"/>
      <c r="H39" s="362"/>
    </row>
    <row r="40" spans="1:9" x14ac:dyDescent="0.35">
      <c r="A40" s="354" t="s">
        <v>325</v>
      </c>
      <c r="B40" s="355"/>
      <c r="C40" s="356"/>
      <c r="D40" s="139"/>
      <c r="E40" s="357"/>
      <c r="F40" s="358"/>
      <c r="G40" s="358"/>
      <c r="H40" s="359"/>
    </row>
    <row r="41" spans="1:9" ht="14.5" customHeight="1" x14ac:dyDescent="0.35">
      <c r="A41" s="242" t="s">
        <v>326</v>
      </c>
      <c r="B41" s="243"/>
      <c r="C41" s="244"/>
      <c r="D41" s="135" t="str">
        <f>IF(B38="","",IF(B38&gt;5,"Yes","No"))</f>
        <v/>
      </c>
      <c r="E41" s="322" t="str">
        <f>IF(D41="Yes","Does not meet design criteria","")</f>
        <v/>
      </c>
      <c r="F41" s="323"/>
      <c r="G41" s="323"/>
      <c r="H41" s="324"/>
    </row>
    <row r="42" spans="1:9" ht="26.5" customHeight="1" x14ac:dyDescent="0.35">
      <c r="A42" s="245" t="s">
        <v>247</v>
      </c>
      <c r="B42" s="245"/>
      <c r="C42" s="245"/>
      <c r="D42" s="211"/>
      <c r="E42" s="322" t="str">
        <f>IF(D42="","This practice cannot be used for hotspot treatment",IF(D42="Yes","Does not meet design criteria",""))</f>
        <v>This practice cannot be used for hotspot treatment</v>
      </c>
      <c r="F42" s="323"/>
      <c r="G42" s="323"/>
      <c r="H42" s="324"/>
      <c r="I42" s="4"/>
    </row>
    <row r="43" spans="1:9" ht="14.5" customHeight="1" x14ac:dyDescent="0.35">
      <c r="A43" s="273" t="s">
        <v>232</v>
      </c>
      <c r="B43" s="273"/>
      <c r="C43" s="273"/>
      <c r="D43" s="273"/>
      <c r="E43" s="273"/>
      <c r="F43" s="273"/>
      <c r="G43" s="273"/>
      <c r="H43" s="273"/>
    </row>
    <row r="44" spans="1:9" x14ac:dyDescent="0.35">
      <c r="A44" s="346"/>
      <c r="B44" s="347"/>
      <c r="C44" s="348"/>
      <c r="D44" s="47" t="s">
        <v>256</v>
      </c>
      <c r="E44" s="48" t="s">
        <v>257</v>
      </c>
      <c r="F44" s="349" t="s">
        <v>258</v>
      </c>
      <c r="G44" s="350"/>
      <c r="H44" s="351"/>
    </row>
    <row r="45" spans="1:9" ht="24.75" customHeight="1" x14ac:dyDescent="0.35">
      <c r="A45" s="352" t="s">
        <v>327</v>
      </c>
      <c r="B45" s="353"/>
      <c r="C45" s="198" t="s">
        <v>328</v>
      </c>
      <c r="D45" s="51"/>
      <c r="E45" s="136" t="s">
        <v>329</v>
      </c>
      <c r="F45" s="344" t="str">
        <f>IF(D45="","Taken from hydrologic modeling",IF(D45&gt;3,"Does not meet design criteria","Taken from hydrologic modeling"))</f>
        <v>Taken from hydrologic modeling</v>
      </c>
      <c r="G45" s="344"/>
      <c r="H45" s="344"/>
    </row>
    <row r="46" spans="1:9" ht="14.5" customHeight="1" x14ac:dyDescent="0.35">
      <c r="A46" s="342" t="s">
        <v>331</v>
      </c>
      <c r="B46" s="343"/>
      <c r="C46" s="198" t="s">
        <v>332</v>
      </c>
      <c r="D46" s="51"/>
      <c r="E46" s="192" t="s">
        <v>271</v>
      </c>
      <c r="F46" s="345" t="str">
        <f>IF(D46&lt;2,"Does not meet design criteria",IF(D46&gt;6,"Does not meet design criteria",""))</f>
        <v>Does not meet design criteria</v>
      </c>
      <c r="G46" s="345"/>
      <c r="H46" s="345"/>
    </row>
    <row r="47" spans="1:9" ht="14.5" customHeight="1" x14ac:dyDescent="0.35">
      <c r="A47" s="342" t="s">
        <v>333</v>
      </c>
      <c r="B47" s="343"/>
      <c r="C47" s="198" t="s">
        <v>334</v>
      </c>
      <c r="D47" s="51"/>
      <c r="E47" s="192" t="s">
        <v>271</v>
      </c>
      <c r="F47" s="344" t="str">
        <f>IF(D47="","Taken from hydrologic modeling", IF(D47&gt;0.3333,"Does not meet design criteria","Taken from hydrologic modeling"))</f>
        <v>Taken from hydrologic modeling</v>
      </c>
      <c r="G47" s="344"/>
      <c r="H47" s="344"/>
    </row>
    <row r="48" spans="1:9" ht="14.5" customHeight="1" x14ac:dyDescent="0.35">
      <c r="A48" s="342" t="s">
        <v>335</v>
      </c>
      <c r="B48" s="343"/>
      <c r="C48" s="198" t="s">
        <v>336</v>
      </c>
      <c r="D48" s="51"/>
      <c r="E48" s="192" t="s">
        <v>337</v>
      </c>
      <c r="F48" s="345" t="str">
        <f>IF(D48="","",IF(D48&lt;3,"Does not meet design criteria",""))</f>
        <v/>
      </c>
      <c r="G48" s="345"/>
      <c r="H48" s="345"/>
    </row>
    <row r="49" spans="1:8" ht="14.5" customHeight="1" x14ac:dyDescent="0.35">
      <c r="A49" s="342" t="s">
        <v>338</v>
      </c>
      <c r="B49" s="343"/>
      <c r="C49" s="198" t="s">
        <v>339</v>
      </c>
      <c r="D49" s="137">
        <f>D46+(2)*(D48)*(D47)</f>
        <v>0</v>
      </c>
      <c r="E49" s="192" t="s">
        <v>271</v>
      </c>
      <c r="F49" s="344"/>
      <c r="G49" s="344"/>
      <c r="H49" s="344"/>
    </row>
    <row r="50" spans="1:8" ht="14.5" customHeight="1" x14ac:dyDescent="0.35">
      <c r="A50" s="342" t="s">
        <v>340</v>
      </c>
      <c r="B50" s="343"/>
      <c r="C50" s="198" t="s">
        <v>341</v>
      </c>
      <c r="D50" s="137">
        <f>D46+(((D47^2)+(D48*D47)^2)^0.5)*2</f>
        <v>0</v>
      </c>
      <c r="E50" s="192" t="s">
        <v>271</v>
      </c>
      <c r="F50" s="344"/>
      <c r="G50" s="344"/>
      <c r="H50" s="344"/>
    </row>
    <row r="51" spans="1:8" ht="14.5" customHeight="1" x14ac:dyDescent="0.35">
      <c r="A51" s="342" t="s">
        <v>342</v>
      </c>
      <c r="B51" s="343"/>
      <c r="C51" s="198" t="s">
        <v>343</v>
      </c>
      <c r="D51" s="137">
        <f>(D47*(D46+D49))/2</f>
        <v>0</v>
      </c>
      <c r="E51" s="192" t="s">
        <v>316</v>
      </c>
      <c r="F51" s="344"/>
      <c r="G51" s="344"/>
      <c r="H51" s="344"/>
    </row>
    <row r="52" spans="1:8" ht="24.4" customHeight="1" x14ac:dyDescent="0.35">
      <c r="A52" s="342" t="s">
        <v>344</v>
      </c>
      <c r="B52" s="343"/>
      <c r="C52" s="198" t="s">
        <v>345</v>
      </c>
      <c r="D52" s="137" t="str">
        <f>IF(D45="","",D45/D51)</f>
        <v/>
      </c>
      <c r="E52" s="192" t="s">
        <v>346</v>
      </c>
      <c r="F52" s="344" t="str">
        <f>IF(D52&gt;1,"Does not meet design criteria","")</f>
        <v>Does not meet design criteria</v>
      </c>
      <c r="G52" s="344"/>
      <c r="H52" s="344"/>
    </row>
    <row r="53" spans="1:8" ht="14.5" customHeight="1" x14ac:dyDescent="0.35">
      <c r="A53" s="342" t="s">
        <v>347</v>
      </c>
      <c r="B53" s="343"/>
      <c r="C53" s="198"/>
      <c r="D53" s="50"/>
      <c r="E53" s="192" t="s">
        <v>261</v>
      </c>
      <c r="F53" s="344"/>
      <c r="G53" s="344"/>
      <c r="H53" s="344"/>
    </row>
    <row r="54" spans="1:8" ht="14.5" customHeight="1" x14ac:dyDescent="0.35">
      <c r="A54" s="343" t="s">
        <v>348</v>
      </c>
      <c r="B54" s="285"/>
      <c r="C54" s="198" t="s">
        <v>349</v>
      </c>
      <c r="D54" s="137" t="e">
        <f>IF((D53*60*D52)&lt;100,100,(D53*60*D52))</f>
        <v>#VALUE!</v>
      </c>
      <c r="E54" s="192" t="s">
        <v>271</v>
      </c>
      <c r="F54" s="344"/>
      <c r="G54" s="344"/>
      <c r="H54" s="344"/>
    </row>
    <row r="55" spans="1:8" ht="14.5" customHeight="1" x14ac:dyDescent="0.35">
      <c r="A55" s="343" t="s">
        <v>350</v>
      </c>
      <c r="B55" s="285"/>
      <c r="C55" s="198" t="s">
        <v>351</v>
      </c>
      <c r="D55" s="50"/>
      <c r="E55" s="192" t="s">
        <v>271</v>
      </c>
      <c r="F55" s="344" t="str">
        <f>IF(D55="","",IF(D55&lt;D54,"Does not meet design criteria",""))</f>
        <v/>
      </c>
      <c r="G55" s="344"/>
      <c r="H55" s="344"/>
    </row>
    <row r="56" spans="1:8" ht="14.5" customHeight="1" x14ac:dyDescent="0.35">
      <c r="A56" s="343" t="s">
        <v>352</v>
      </c>
      <c r="B56" s="285"/>
      <c r="C56" s="198" t="s">
        <v>353</v>
      </c>
      <c r="D56" s="50"/>
      <c r="E56" s="192" t="s">
        <v>266</v>
      </c>
      <c r="F56" s="344" t="str">
        <f>IF(D56&lt;0.005,"Does not meet design criteria",IF(D56&gt;0.04,"Does not meet design criteria",""))</f>
        <v>Does not meet design criteria</v>
      </c>
      <c r="G56" s="344"/>
      <c r="H56" s="344"/>
    </row>
    <row r="57" spans="1:8" ht="14.5" customHeight="1" x14ac:dyDescent="0.35">
      <c r="A57" s="342" t="s">
        <v>354</v>
      </c>
      <c r="B57" s="342"/>
      <c r="C57" s="198" t="s">
        <v>355</v>
      </c>
      <c r="D57" s="140"/>
      <c r="E57" s="192" t="s">
        <v>271</v>
      </c>
      <c r="F57" s="345"/>
      <c r="G57" s="345"/>
      <c r="H57" s="345"/>
    </row>
    <row r="58" spans="1:8" ht="14.5" customHeight="1" x14ac:dyDescent="0.35">
      <c r="A58" s="343" t="s">
        <v>356</v>
      </c>
      <c r="B58" s="363"/>
      <c r="C58" s="198" t="s">
        <v>357</v>
      </c>
      <c r="D58" s="62" t="str">
        <f>IF(D56="","",D57/D56)</f>
        <v/>
      </c>
      <c r="E58" s="192" t="s">
        <v>271</v>
      </c>
      <c r="F58" s="345"/>
      <c r="G58" s="345"/>
      <c r="H58" s="345"/>
    </row>
    <row r="59" spans="1:8" ht="27" customHeight="1" x14ac:dyDescent="0.35">
      <c r="A59" s="342" t="s">
        <v>358</v>
      </c>
      <c r="B59" s="342"/>
      <c r="C59" s="198" t="s">
        <v>217</v>
      </c>
      <c r="D59" s="62" t="str">
        <f>IF(D58="","",D55/D58)</f>
        <v/>
      </c>
      <c r="E59" s="192"/>
      <c r="F59" s="345"/>
      <c r="G59" s="345"/>
      <c r="H59" s="345"/>
    </row>
    <row r="60" spans="1:8" ht="14.5" customHeight="1" x14ac:dyDescent="0.35">
      <c r="A60" s="342" t="s">
        <v>359</v>
      </c>
      <c r="B60" s="342"/>
      <c r="C60" s="198" t="s">
        <v>360</v>
      </c>
      <c r="D60" s="140"/>
      <c r="E60" s="192" t="s">
        <v>271</v>
      </c>
      <c r="F60" s="344" t="s">
        <v>330</v>
      </c>
      <c r="G60" s="344"/>
      <c r="H60" s="344"/>
    </row>
    <row r="61" spans="1:8" x14ac:dyDescent="0.35">
      <c r="A61" s="342" t="s">
        <v>361</v>
      </c>
      <c r="B61" s="342"/>
      <c r="C61" s="198" t="s">
        <v>362</v>
      </c>
      <c r="D61" s="62">
        <f>D46+(2)*(D48)*(D60)</f>
        <v>0</v>
      </c>
      <c r="E61" s="192" t="s">
        <v>271</v>
      </c>
      <c r="F61" s="345"/>
      <c r="G61" s="345"/>
      <c r="H61" s="345"/>
    </row>
    <row r="62" spans="1:8" x14ac:dyDescent="0.35">
      <c r="A62" s="342" t="s">
        <v>363</v>
      </c>
      <c r="B62" s="342"/>
      <c r="C62" s="198" t="s">
        <v>364</v>
      </c>
      <c r="D62" s="62">
        <f>(D60*(D46+D61))/2</f>
        <v>0</v>
      </c>
      <c r="E62" s="192" t="s">
        <v>316</v>
      </c>
      <c r="F62" s="345"/>
      <c r="G62" s="345"/>
      <c r="H62" s="345"/>
    </row>
    <row r="63" spans="1:8" ht="14.5" customHeight="1" x14ac:dyDescent="0.35">
      <c r="A63" s="342" t="s">
        <v>365</v>
      </c>
      <c r="B63" s="342"/>
      <c r="C63" s="198" t="s">
        <v>366</v>
      </c>
      <c r="D63" s="62">
        <f>D46+(((D60^2)+(D48*D60)^2)^0.5)*2</f>
        <v>0</v>
      </c>
      <c r="E63" s="192" t="s">
        <v>271</v>
      </c>
      <c r="F63" s="345"/>
      <c r="G63" s="345"/>
      <c r="H63" s="345"/>
    </row>
    <row r="64" spans="1:8" ht="14.5" customHeight="1" x14ac:dyDescent="0.35">
      <c r="A64" s="342" t="s">
        <v>367</v>
      </c>
      <c r="B64" s="342"/>
      <c r="C64" s="198" t="s">
        <v>268</v>
      </c>
      <c r="D64" s="140"/>
      <c r="E64" s="192"/>
      <c r="F64" s="345" t="s">
        <v>368</v>
      </c>
      <c r="G64" s="345"/>
      <c r="H64" s="345"/>
    </row>
    <row r="65" spans="1:9" ht="22.9" customHeight="1" x14ac:dyDescent="0.35">
      <c r="A65" s="342" t="s">
        <v>369</v>
      </c>
      <c r="B65" s="342"/>
      <c r="C65" s="198" t="s">
        <v>370</v>
      </c>
      <c r="D65" s="62" t="str">
        <f>IF(D64="","",(1.49/D64)*((D62/D63)^(2/3))*(D56^0.5))</f>
        <v/>
      </c>
      <c r="E65" s="192" t="s">
        <v>346</v>
      </c>
      <c r="F65" s="345" t="str">
        <f>IF(D65="","",IF(D65&gt;5,"Does not meet design criteria",""))</f>
        <v/>
      </c>
      <c r="G65" s="345"/>
      <c r="H65" s="345"/>
    </row>
    <row r="66" spans="1:9" ht="27" customHeight="1" x14ac:dyDescent="0.35">
      <c r="A66" s="342" t="s">
        <v>371</v>
      </c>
      <c r="B66" s="342"/>
      <c r="C66" s="198"/>
      <c r="D66" s="140"/>
      <c r="E66" s="192" t="s">
        <v>271</v>
      </c>
      <c r="F66" s="345" t="str">
        <f>IF(D66="","Taken from hydrologic modeling",IF(D66&lt;0.5,"Does not meet design criteria","Taken from hydrologic modeling"))</f>
        <v>Taken from hydrologic modeling</v>
      </c>
      <c r="G66" s="345"/>
      <c r="H66" s="345"/>
    </row>
    <row r="67" spans="1:9" ht="14.5" customHeight="1" x14ac:dyDescent="0.35">
      <c r="A67" s="337" t="s">
        <v>372</v>
      </c>
      <c r="B67" s="337"/>
      <c r="C67" s="337"/>
      <c r="D67" s="337"/>
      <c r="E67" s="338"/>
      <c r="F67" s="338"/>
      <c r="G67" s="338"/>
      <c r="H67" s="338"/>
    </row>
    <row r="68" spans="1:9" x14ac:dyDescent="0.35">
      <c r="A68" s="240" t="s">
        <v>241</v>
      </c>
      <c r="B68" s="240"/>
      <c r="C68" s="240"/>
      <c r="D68" s="9" t="str">
        <f>IF(A38="","",IF(D42="Yes",0,IF(D41="Yes",0,IF(D45&gt;3,0,IF(D46&lt;2,0,IF(D46&gt;6,0,IF(D47&lt;0.33,0,IF(D48&lt;3,0,IF(D52&gt;1,0,IF(D56&lt;0.005,0,IF(D56&gt;0.04,0,IF(D55&lt;100,0,IF(D65&gt;5,0,IF(D66&lt;0.5,0,IF(D55&lt;D54,0,IF(D40="A",F38*0.2,IF(D40="B",F38*0.2,IF(D40="C",F38*0.1,IF(D40="D",F38*0.1,IF(D40="Modified C",F38*0.15,IF(D40="Modified D",F38*0.12)))))))))))))))))))))</f>
        <v/>
      </c>
      <c r="E68" s="339" t="s">
        <v>2</v>
      </c>
      <c r="F68" s="340"/>
      <c r="G68" s="340"/>
      <c r="H68" s="341"/>
    </row>
    <row r="69" spans="1:9" x14ac:dyDescent="0.35">
      <c r="A69" s="16" t="s">
        <v>56</v>
      </c>
      <c r="B69" s="225" t="str">
        <f>IF('STEP 2-WQv Calculation'!$B$4="","",'STEP 2-WQv Calculation'!$B$4)</f>
        <v/>
      </c>
      <c r="C69" s="4"/>
      <c r="D69" s="4"/>
      <c r="E69" s="4" t="s">
        <v>324</v>
      </c>
      <c r="F69" s="4"/>
      <c r="G69" s="4"/>
      <c r="H69" s="4"/>
    </row>
    <row r="70" spans="1:9" ht="14.5" customHeight="1" x14ac:dyDescent="0.35">
      <c r="A70" s="273" t="s">
        <v>293</v>
      </c>
      <c r="B70" s="273"/>
      <c r="C70" s="273"/>
      <c r="D70" s="273"/>
      <c r="E70" s="273"/>
      <c r="F70" s="273"/>
      <c r="G70" s="273"/>
      <c r="H70" s="273"/>
    </row>
    <row r="71" spans="1:9" ht="38.5" x14ac:dyDescent="0.35">
      <c r="A71" s="204" t="s">
        <v>60</v>
      </c>
      <c r="B71" s="205" t="s">
        <v>61</v>
      </c>
      <c r="C71" s="205" t="s">
        <v>62</v>
      </c>
      <c r="D71" s="205" t="s">
        <v>63</v>
      </c>
      <c r="E71" s="205" t="s">
        <v>64</v>
      </c>
      <c r="F71" s="205" t="s">
        <v>65</v>
      </c>
      <c r="G71" s="205" t="s">
        <v>244</v>
      </c>
      <c r="H71" s="206" t="s">
        <v>13</v>
      </c>
    </row>
    <row r="72" spans="1:9" x14ac:dyDescent="0.35">
      <c r="A72" s="218"/>
      <c r="B72" s="3" t="str">
        <f>IF($A72="","",(LOOKUP($A72,'STEP 2-WQv Calculation'!$A$8:$A$37,'STEP 2-WQv Calculation'!$B$8:$B$37)))</f>
        <v/>
      </c>
      <c r="C72" s="3" t="str">
        <f>IF($A72="","",(LOOKUP($A72,'STEP 2-WQv Calculation'!$A$8:$A$37,'STEP 2-WQv Calculation'!$C$8:$C$37)))</f>
        <v/>
      </c>
      <c r="D72" s="212" t="str">
        <f>IF($A72="","",(LOOKUP($A72,'STEP 2-WQv Calculation'!$A$8:$A$37,'STEP 2-WQv Calculation'!$D$8:$D$37)))</f>
        <v/>
      </c>
      <c r="E72" s="3" t="str">
        <f>IF($A72="","",(LOOKUP($A72,'STEP 2-WQv Calculation'!$A$8:$A$37,'STEP 2-WQv Calculation'!$E$8:$E$37)))</f>
        <v/>
      </c>
      <c r="F72" s="217" t="str">
        <f>IF($A72="","",(LOOKUP($A72,'STEP 2-WQv Calculation'!$A$8:$A$37,'STEP 2-WQv Calculation'!$F$8:$F$37)))</f>
        <v/>
      </c>
      <c r="G72" s="22">
        <f>'STEP 2-WQv Calculation'!B5</f>
        <v>0</v>
      </c>
      <c r="H72" s="198" t="str">
        <f>IF($A72="","",(LOOKUP($A72,'STEP 2-WQv Calculation'!$A$8:$A$37,'STEP 2-WQv Calculation'!$G$8:$G$37)))</f>
        <v/>
      </c>
    </row>
    <row r="73" spans="1:9" ht="14.5" customHeight="1" x14ac:dyDescent="0.35">
      <c r="A73" s="360" t="s">
        <v>226</v>
      </c>
      <c r="B73" s="361"/>
      <c r="C73" s="361"/>
      <c r="D73" s="361"/>
      <c r="E73" s="361"/>
      <c r="F73" s="361"/>
      <c r="G73" s="361"/>
      <c r="H73" s="362"/>
    </row>
    <row r="74" spans="1:9" x14ac:dyDescent="0.35">
      <c r="A74" s="354" t="s">
        <v>325</v>
      </c>
      <c r="B74" s="355"/>
      <c r="C74" s="356"/>
      <c r="D74" s="139"/>
      <c r="E74" s="357"/>
      <c r="F74" s="358"/>
      <c r="G74" s="358"/>
      <c r="H74" s="359"/>
    </row>
    <row r="75" spans="1:9" ht="14.5" customHeight="1" x14ac:dyDescent="0.35">
      <c r="A75" s="242" t="s">
        <v>326</v>
      </c>
      <c r="B75" s="243"/>
      <c r="C75" s="244"/>
      <c r="D75" s="135" t="str">
        <f>IF(B72="","",IF(B72&gt;5,"Yes","No"))</f>
        <v/>
      </c>
      <c r="E75" s="322" t="str">
        <f>IF(D75="Yes","Does not meet design criteria","")</f>
        <v/>
      </c>
      <c r="F75" s="323"/>
      <c r="G75" s="323"/>
      <c r="H75" s="324"/>
    </row>
    <row r="76" spans="1:9" ht="26.5" customHeight="1" x14ac:dyDescent="0.35">
      <c r="A76" s="245" t="s">
        <v>247</v>
      </c>
      <c r="B76" s="245"/>
      <c r="C76" s="245"/>
      <c r="D76" s="211"/>
      <c r="E76" s="322" t="str">
        <f>IF(D76="","This practice cannot be used for hotspot treatment",IF(D76="Yes","Does not meet design criteria",""))</f>
        <v>This practice cannot be used for hotspot treatment</v>
      </c>
      <c r="F76" s="323"/>
      <c r="G76" s="323"/>
      <c r="H76" s="324"/>
      <c r="I76" s="4"/>
    </row>
    <row r="77" spans="1:9" ht="14.5" customHeight="1" x14ac:dyDescent="0.35">
      <c r="A77" s="273" t="s">
        <v>232</v>
      </c>
      <c r="B77" s="273"/>
      <c r="C77" s="273"/>
      <c r="D77" s="273"/>
      <c r="E77" s="273"/>
      <c r="F77" s="273"/>
      <c r="G77" s="273"/>
      <c r="H77" s="273"/>
    </row>
    <row r="78" spans="1:9" x14ac:dyDescent="0.35">
      <c r="A78" s="346"/>
      <c r="B78" s="347"/>
      <c r="C78" s="348"/>
      <c r="D78" s="47" t="s">
        <v>256</v>
      </c>
      <c r="E78" s="48" t="s">
        <v>257</v>
      </c>
      <c r="F78" s="349" t="s">
        <v>258</v>
      </c>
      <c r="G78" s="350"/>
      <c r="H78" s="351"/>
    </row>
    <row r="79" spans="1:9" ht="23.65" customHeight="1" x14ac:dyDescent="0.35">
      <c r="A79" s="352" t="s">
        <v>327</v>
      </c>
      <c r="B79" s="353"/>
      <c r="C79" s="198" t="s">
        <v>328</v>
      </c>
      <c r="D79" s="51"/>
      <c r="E79" s="136" t="s">
        <v>329</v>
      </c>
      <c r="F79" s="344" t="str">
        <f>IF(D79="","Taken from hydrologic modeling",IF(D79&gt;3,"Does not meet design criteria","Taken from hydrologic modeling"))</f>
        <v>Taken from hydrologic modeling</v>
      </c>
      <c r="G79" s="344"/>
      <c r="H79" s="344"/>
    </row>
    <row r="80" spans="1:9" ht="14.5" customHeight="1" x14ac:dyDescent="0.35">
      <c r="A80" s="342" t="s">
        <v>331</v>
      </c>
      <c r="B80" s="343"/>
      <c r="C80" s="198" t="s">
        <v>332</v>
      </c>
      <c r="D80" s="51"/>
      <c r="E80" s="192" t="s">
        <v>271</v>
      </c>
      <c r="F80" s="345" t="str">
        <f>IF(D80&lt;2,"Does not meet design criteria",IF(D80&gt;6,"Does not meet design criteria",""))</f>
        <v>Does not meet design criteria</v>
      </c>
      <c r="G80" s="345"/>
      <c r="H80" s="345"/>
    </row>
    <row r="81" spans="1:8" ht="14.5" customHeight="1" x14ac:dyDescent="0.35">
      <c r="A81" s="342" t="s">
        <v>333</v>
      </c>
      <c r="B81" s="343"/>
      <c r="C81" s="198" t="s">
        <v>334</v>
      </c>
      <c r="D81" s="51"/>
      <c r="E81" s="192" t="s">
        <v>271</v>
      </c>
      <c r="F81" s="344" t="str">
        <f>IF(D81="","Taken from hydrologic modeling", IF(D81&gt;0.3333,"Does not meet design criteria","Taken from hydrologic modeling"))</f>
        <v>Taken from hydrologic modeling</v>
      </c>
      <c r="G81" s="344"/>
      <c r="H81" s="344"/>
    </row>
    <row r="82" spans="1:8" ht="14.5" customHeight="1" x14ac:dyDescent="0.35">
      <c r="A82" s="342" t="s">
        <v>335</v>
      </c>
      <c r="B82" s="343"/>
      <c r="C82" s="198" t="s">
        <v>336</v>
      </c>
      <c r="D82" s="51"/>
      <c r="E82" s="192" t="s">
        <v>337</v>
      </c>
      <c r="F82" s="345" t="str">
        <f>IF(D82="","",IF(D82&lt;3,"Does not meet design criteria",""))</f>
        <v/>
      </c>
      <c r="G82" s="345"/>
      <c r="H82" s="345"/>
    </row>
    <row r="83" spans="1:8" ht="14.5" customHeight="1" x14ac:dyDescent="0.35">
      <c r="A83" s="342" t="s">
        <v>338</v>
      </c>
      <c r="B83" s="343"/>
      <c r="C83" s="198" t="s">
        <v>339</v>
      </c>
      <c r="D83" s="137">
        <f>D80+(2)*(D82)*(D81)</f>
        <v>0</v>
      </c>
      <c r="E83" s="192" t="s">
        <v>271</v>
      </c>
      <c r="F83" s="344"/>
      <c r="G83" s="344"/>
      <c r="H83" s="344"/>
    </row>
    <row r="84" spans="1:8" ht="14.5" customHeight="1" x14ac:dyDescent="0.35">
      <c r="A84" s="342" t="s">
        <v>340</v>
      </c>
      <c r="B84" s="343"/>
      <c r="C84" s="198" t="s">
        <v>341</v>
      </c>
      <c r="D84" s="137">
        <f>D80+(((D81^2)+(D82*D81)^2)^0.5)*2</f>
        <v>0</v>
      </c>
      <c r="E84" s="192" t="s">
        <v>271</v>
      </c>
      <c r="F84" s="344"/>
      <c r="G84" s="344"/>
      <c r="H84" s="344"/>
    </row>
    <row r="85" spans="1:8" ht="14.5" customHeight="1" x14ac:dyDescent="0.35">
      <c r="A85" s="342" t="s">
        <v>342</v>
      </c>
      <c r="B85" s="343"/>
      <c r="C85" s="198" t="s">
        <v>343</v>
      </c>
      <c r="D85" s="137">
        <f>(D81*(D80+D83))/2</f>
        <v>0</v>
      </c>
      <c r="E85" s="192" t="s">
        <v>316</v>
      </c>
      <c r="F85" s="344"/>
      <c r="G85" s="344"/>
      <c r="H85" s="344"/>
    </row>
    <row r="86" spans="1:8" ht="23.65" customHeight="1" x14ac:dyDescent="0.35">
      <c r="A86" s="342" t="s">
        <v>344</v>
      </c>
      <c r="B86" s="343"/>
      <c r="C86" s="198" t="s">
        <v>345</v>
      </c>
      <c r="D86" s="137" t="str">
        <f>IF(D79="","",D79/D85)</f>
        <v/>
      </c>
      <c r="E86" s="192" t="s">
        <v>346</v>
      </c>
      <c r="F86" s="344" t="str">
        <f>IF(D86&gt;1,"Does not meet design criteria","")</f>
        <v>Does not meet design criteria</v>
      </c>
      <c r="G86" s="344"/>
      <c r="H86" s="344"/>
    </row>
    <row r="87" spans="1:8" ht="14.25" customHeight="1" x14ac:dyDescent="0.35">
      <c r="A87" s="342" t="s">
        <v>347</v>
      </c>
      <c r="B87" s="343"/>
      <c r="C87" s="198"/>
      <c r="D87" s="50"/>
      <c r="E87" s="192" t="s">
        <v>261</v>
      </c>
      <c r="F87" s="344"/>
      <c r="G87" s="344"/>
      <c r="H87" s="344"/>
    </row>
    <row r="88" spans="1:8" x14ac:dyDescent="0.35">
      <c r="A88" s="343" t="s">
        <v>348</v>
      </c>
      <c r="B88" s="285"/>
      <c r="C88" s="198" t="s">
        <v>349</v>
      </c>
      <c r="D88" s="137" t="e">
        <f>IF((D87*60*D86)&lt;100,100,(D87*60*D86))</f>
        <v>#VALUE!</v>
      </c>
      <c r="E88" s="192" t="s">
        <v>271</v>
      </c>
      <c r="F88" s="344"/>
      <c r="G88" s="344"/>
      <c r="H88" s="344"/>
    </row>
    <row r="89" spans="1:8" x14ac:dyDescent="0.35">
      <c r="A89" s="343" t="s">
        <v>350</v>
      </c>
      <c r="B89" s="285"/>
      <c r="C89" s="198" t="s">
        <v>351</v>
      </c>
      <c r="D89" s="50"/>
      <c r="E89" s="192" t="s">
        <v>271</v>
      </c>
      <c r="F89" s="344" t="str">
        <f>IF(D89="","",IF(D89&lt;D88,"Does not meet design criteria",""))</f>
        <v/>
      </c>
      <c r="G89" s="344"/>
      <c r="H89" s="344"/>
    </row>
    <row r="90" spans="1:8" ht="14.5" customHeight="1" x14ac:dyDescent="0.35">
      <c r="A90" s="343" t="s">
        <v>352</v>
      </c>
      <c r="B90" s="285"/>
      <c r="C90" s="198" t="s">
        <v>353</v>
      </c>
      <c r="D90" s="50"/>
      <c r="E90" s="192" t="s">
        <v>266</v>
      </c>
      <c r="F90" s="344" t="str">
        <f>IF(D90&lt;0.005,"Does not meet design criteria",IF(D90&gt;0.04,"Does not meet design criteria",""))</f>
        <v>Does not meet design criteria</v>
      </c>
      <c r="G90" s="344"/>
      <c r="H90" s="344"/>
    </row>
    <row r="91" spans="1:8" ht="14.5" customHeight="1" x14ac:dyDescent="0.35">
      <c r="A91" s="342" t="s">
        <v>354</v>
      </c>
      <c r="B91" s="342"/>
      <c r="C91" s="198" t="s">
        <v>355</v>
      </c>
      <c r="D91" s="140"/>
      <c r="E91" s="192" t="s">
        <v>271</v>
      </c>
      <c r="F91" s="345"/>
      <c r="G91" s="345"/>
      <c r="H91" s="345"/>
    </row>
    <row r="92" spans="1:8" ht="14.5" customHeight="1" x14ac:dyDescent="0.35">
      <c r="A92" s="343" t="s">
        <v>356</v>
      </c>
      <c r="B92" s="363"/>
      <c r="C92" s="198" t="s">
        <v>357</v>
      </c>
      <c r="D92" s="62" t="str">
        <f>IF(D90="","",D91/D90)</f>
        <v/>
      </c>
      <c r="E92" s="192" t="s">
        <v>271</v>
      </c>
      <c r="F92" s="345"/>
      <c r="G92" s="345"/>
      <c r="H92" s="345"/>
    </row>
    <row r="93" spans="1:8" ht="30" customHeight="1" x14ac:dyDescent="0.35">
      <c r="A93" s="342" t="s">
        <v>358</v>
      </c>
      <c r="B93" s="342"/>
      <c r="C93" s="198" t="s">
        <v>217</v>
      </c>
      <c r="D93" s="62" t="str">
        <f>IF(D92="","",D89/D92)</f>
        <v/>
      </c>
      <c r="E93" s="192"/>
      <c r="F93" s="345"/>
      <c r="G93" s="345"/>
      <c r="H93" s="345"/>
    </row>
    <row r="94" spans="1:8" x14ac:dyDescent="0.35">
      <c r="A94" s="342" t="s">
        <v>359</v>
      </c>
      <c r="B94" s="342"/>
      <c r="C94" s="198" t="s">
        <v>360</v>
      </c>
      <c r="D94" s="140"/>
      <c r="E94" s="192" t="s">
        <v>271</v>
      </c>
      <c r="F94" s="344" t="s">
        <v>330</v>
      </c>
      <c r="G94" s="344"/>
      <c r="H94" s="344"/>
    </row>
    <row r="95" spans="1:8" x14ac:dyDescent="0.35">
      <c r="A95" s="342" t="s">
        <v>361</v>
      </c>
      <c r="B95" s="342"/>
      <c r="C95" s="198" t="s">
        <v>362</v>
      </c>
      <c r="D95" s="62">
        <f>D80+(2)*(D82)*(D94)</f>
        <v>0</v>
      </c>
      <c r="E95" s="192" t="s">
        <v>271</v>
      </c>
      <c r="F95" s="345"/>
      <c r="G95" s="345"/>
      <c r="H95" s="345"/>
    </row>
    <row r="96" spans="1:8" x14ac:dyDescent="0.35">
      <c r="A96" s="342" t="s">
        <v>363</v>
      </c>
      <c r="B96" s="342"/>
      <c r="C96" s="198" t="s">
        <v>364</v>
      </c>
      <c r="D96" s="62">
        <f>(D94*(D80+D95))/2</f>
        <v>0</v>
      </c>
      <c r="E96" s="192" t="s">
        <v>316</v>
      </c>
      <c r="F96" s="345"/>
      <c r="G96" s="345"/>
      <c r="H96" s="345"/>
    </row>
    <row r="97" spans="1:9" x14ac:dyDescent="0.35">
      <c r="A97" s="342" t="s">
        <v>365</v>
      </c>
      <c r="B97" s="342"/>
      <c r="C97" s="198" t="s">
        <v>366</v>
      </c>
      <c r="D97" s="62">
        <f>D80+(((D94^2)+(D82*D94)^2)^0.5)*2</f>
        <v>0</v>
      </c>
      <c r="E97" s="192" t="s">
        <v>271</v>
      </c>
      <c r="F97" s="345"/>
      <c r="G97" s="345"/>
      <c r="H97" s="345"/>
    </row>
    <row r="98" spans="1:9" x14ac:dyDescent="0.35">
      <c r="A98" s="342" t="s">
        <v>367</v>
      </c>
      <c r="B98" s="342"/>
      <c r="C98" s="198" t="s">
        <v>268</v>
      </c>
      <c r="D98" s="140"/>
      <c r="E98" s="192"/>
      <c r="F98" s="345" t="s">
        <v>368</v>
      </c>
      <c r="G98" s="345"/>
      <c r="H98" s="345"/>
    </row>
    <row r="99" spans="1:9" ht="27" customHeight="1" x14ac:dyDescent="0.35">
      <c r="A99" s="342" t="s">
        <v>369</v>
      </c>
      <c r="B99" s="342"/>
      <c r="C99" s="198" t="s">
        <v>370</v>
      </c>
      <c r="D99" s="62" t="str">
        <f>IF(D98="","",(1.49/D98)*((D96/D97)^(2/3))*(D90^0.5))</f>
        <v/>
      </c>
      <c r="E99" s="192" t="s">
        <v>346</v>
      </c>
      <c r="F99" s="345" t="str">
        <f>IF(D99="","",IF(D99&gt;5,"Does not meet design criteria",""))</f>
        <v/>
      </c>
      <c r="G99" s="345"/>
      <c r="H99" s="345"/>
    </row>
    <row r="100" spans="1:9" ht="25.5" customHeight="1" x14ac:dyDescent="0.35">
      <c r="A100" s="342" t="s">
        <v>371</v>
      </c>
      <c r="B100" s="342"/>
      <c r="C100" s="198"/>
      <c r="D100" s="140"/>
      <c r="E100" s="192" t="s">
        <v>271</v>
      </c>
      <c r="F100" s="345" t="str">
        <f>IF(D100="","Taken from hydrologic modeling",IF(D100&lt;0.5,"Does not meet design criteria","Taken from hydrologic modeling"))</f>
        <v>Taken from hydrologic modeling</v>
      </c>
      <c r="G100" s="345"/>
      <c r="H100" s="345"/>
    </row>
    <row r="101" spans="1:9" ht="14.5" customHeight="1" x14ac:dyDescent="0.35">
      <c r="A101" s="337" t="s">
        <v>372</v>
      </c>
      <c r="B101" s="337"/>
      <c r="C101" s="337"/>
      <c r="D101" s="337"/>
      <c r="E101" s="338"/>
      <c r="F101" s="338"/>
      <c r="G101" s="338"/>
      <c r="H101" s="338"/>
    </row>
    <row r="102" spans="1:9" ht="14.5" customHeight="1" x14ac:dyDescent="0.35">
      <c r="A102" s="240" t="s">
        <v>241</v>
      </c>
      <c r="B102" s="240"/>
      <c r="C102" s="240"/>
      <c r="D102" s="9" t="str">
        <f>IF(A72="","",IF(D76="Yes",0,IF(D75="Yes",0,IF(D79&gt;3,0,IF(D80&lt;2,0,IF(D80&gt;6,0,IF(D81&lt;0.33,0,IF(D82&lt;3,0,IF(D86&gt;1,0,IF(D90&lt;0.005,0,IF(D90&gt;0.04,0,IF(D89&lt;100,0,IF(D99&gt;5,0,IF(D100&lt;0.5,0,IF(D89&lt;D88,0,IF(D74="A",F72*0.2,IF(D74="B",F72*0.2,IF(D74="C",F72*0.1,IF(D74="D",F72*0.1,IF(D74="Modified C",F72*0.15,IF(D74="Modified D",F72*0.12)))))))))))))))))))))</f>
        <v/>
      </c>
      <c r="E102" s="339" t="s">
        <v>2</v>
      </c>
      <c r="F102" s="340"/>
      <c r="G102" s="340"/>
      <c r="H102" s="341"/>
    </row>
    <row r="103" spans="1:9" ht="14.25" customHeight="1" x14ac:dyDescent="0.35">
      <c r="A103" s="16" t="s">
        <v>56</v>
      </c>
      <c r="B103" s="225" t="str">
        <f>IF('STEP 2-WQv Calculation'!$B$4="","",'STEP 2-WQv Calculation'!$B$4)</f>
        <v/>
      </c>
      <c r="C103" s="4"/>
      <c r="D103" s="4"/>
      <c r="E103" s="4" t="s">
        <v>324</v>
      </c>
      <c r="F103" s="4"/>
      <c r="G103" s="4"/>
      <c r="H103" s="4"/>
    </row>
    <row r="104" spans="1:9" ht="14.5" customHeight="1" x14ac:dyDescent="0.35">
      <c r="A104" s="273" t="s">
        <v>293</v>
      </c>
      <c r="B104" s="273"/>
      <c r="C104" s="273"/>
      <c r="D104" s="273"/>
      <c r="E104" s="273"/>
      <c r="F104" s="273"/>
      <c r="G104" s="273"/>
      <c r="H104" s="273"/>
    </row>
    <row r="105" spans="1:9" ht="38.5" x14ac:dyDescent="0.35">
      <c r="A105" s="204" t="s">
        <v>60</v>
      </c>
      <c r="B105" s="205" t="s">
        <v>61</v>
      </c>
      <c r="C105" s="205" t="s">
        <v>62</v>
      </c>
      <c r="D105" s="205" t="s">
        <v>63</v>
      </c>
      <c r="E105" s="205" t="s">
        <v>64</v>
      </c>
      <c r="F105" s="205" t="s">
        <v>65</v>
      </c>
      <c r="G105" s="205" t="s">
        <v>244</v>
      </c>
      <c r="H105" s="206" t="s">
        <v>13</v>
      </c>
    </row>
    <row r="106" spans="1:9" x14ac:dyDescent="0.35">
      <c r="A106" s="218"/>
      <c r="B106" s="3" t="str">
        <f>IF($A106="","",(LOOKUP($A106,'STEP 2-WQv Calculation'!$A$8:$A$37,'STEP 2-WQv Calculation'!$B$8:$B$37)))</f>
        <v/>
      </c>
      <c r="C106" s="3" t="str">
        <f>IF($A106="","",(LOOKUP($A106,'STEP 2-WQv Calculation'!$A$8:$A$37,'STEP 2-WQv Calculation'!$C$8:$C$37)))</f>
        <v/>
      </c>
      <c r="D106" s="212" t="str">
        <f>IF($A106="","",(LOOKUP($A106,'STEP 2-WQv Calculation'!$A$8:$A$37,'STEP 2-WQv Calculation'!$D$8:$D$37)))</f>
        <v/>
      </c>
      <c r="E106" s="3" t="str">
        <f>IF($A106="","",(LOOKUP($A106,'STEP 2-WQv Calculation'!$A$8:$A$37,'STEP 2-WQv Calculation'!$E$8:$E$37)))</f>
        <v/>
      </c>
      <c r="F106" s="217" t="str">
        <f>IF($A106="","",(LOOKUP($A106,'STEP 2-WQv Calculation'!$A$8:$A$37,'STEP 2-WQv Calculation'!$F$8:$F$37)))</f>
        <v/>
      </c>
      <c r="G106" s="22">
        <f>'STEP 2-WQv Calculation'!B5</f>
        <v>0</v>
      </c>
      <c r="H106" s="198" t="str">
        <f>IF($A106="","",(LOOKUP($A106,'STEP 2-WQv Calculation'!$A$8:$A$37,'STEP 2-WQv Calculation'!$G$8:$G$37)))</f>
        <v/>
      </c>
    </row>
    <row r="107" spans="1:9" ht="14.5" customHeight="1" x14ac:dyDescent="0.35">
      <c r="A107" s="360" t="s">
        <v>226</v>
      </c>
      <c r="B107" s="361"/>
      <c r="C107" s="361"/>
      <c r="D107" s="361"/>
      <c r="E107" s="361"/>
      <c r="F107" s="361"/>
      <c r="G107" s="361"/>
      <c r="H107" s="362"/>
    </row>
    <row r="108" spans="1:9" x14ac:dyDescent="0.35">
      <c r="A108" s="354" t="s">
        <v>325</v>
      </c>
      <c r="B108" s="355"/>
      <c r="C108" s="356"/>
      <c r="D108" s="139"/>
      <c r="E108" s="357"/>
      <c r="F108" s="358"/>
      <c r="G108" s="358"/>
      <c r="H108" s="359"/>
    </row>
    <row r="109" spans="1:9" ht="14.5" customHeight="1" x14ac:dyDescent="0.35">
      <c r="A109" s="242" t="s">
        <v>326</v>
      </c>
      <c r="B109" s="243"/>
      <c r="C109" s="244"/>
      <c r="D109" s="135" t="str">
        <f>IF(B106="","",IF(B106&gt;5,"Yes","No"))</f>
        <v/>
      </c>
      <c r="E109" s="322" t="str">
        <f>IF(D109="Yes","Does not meet design criteria","")</f>
        <v/>
      </c>
      <c r="F109" s="323"/>
      <c r="G109" s="323"/>
      <c r="H109" s="324"/>
    </row>
    <row r="110" spans="1:9" ht="26.5" customHeight="1" x14ac:dyDescent="0.35">
      <c r="A110" s="245" t="s">
        <v>247</v>
      </c>
      <c r="B110" s="245"/>
      <c r="C110" s="245"/>
      <c r="D110" s="211"/>
      <c r="E110" s="322" t="str">
        <f>IF(D110="","This practice cannot be used for hotspot treatment",IF(D110="Yes","Does not meet design criteria",""))</f>
        <v>This practice cannot be used for hotspot treatment</v>
      </c>
      <c r="F110" s="323"/>
      <c r="G110" s="323"/>
      <c r="H110" s="324"/>
      <c r="I110" s="4"/>
    </row>
    <row r="111" spans="1:9" ht="14.5" customHeight="1" x14ac:dyDescent="0.35">
      <c r="A111" s="273" t="s">
        <v>232</v>
      </c>
      <c r="B111" s="273"/>
      <c r="C111" s="273"/>
      <c r="D111" s="273"/>
      <c r="E111" s="273"/>
      <c r="F111" s="273"/>
      <c r="G111" s="273"/>
      <c r="H111" s="273"/>
    </row>
    <row r="112" spans="1:9" x14ac:dyDescent="0.35">
      <c r="A112" s="346"/>
      <c r="B112" s="347"/>
      <c r="C112" s="348"/>
      <c r="D112" s="47" t="s">
        <v>256</v>
      </c>
      <c r="E112" s="48" t="s">
        <v>257</v>
      </c>
      <c r="F112" s="349" t="s">
        <v>258</v>
      </c>
      <c r="G112" s="350"/>
      <c r="H112" s="351"/>
    </row>
    <row r="113" spans="1:8" ht="27" customHeight="1" x14ac:dyDescent="0.35">
      <c r="A113" s="352" t="s">
        <v>327</v>
      </c>
      <c r="B113" s="353"/>
      <c r="C113" s="198" t="s">
        <v>328</v>
      </c>
      <c r="D113" s="51"/>
      <c r="E113" s="136" t="s">
        <v>329</v>
      </c>
      <c r="F113" s="344" t="str">
        <f>IF(D113="","Taken from hydrologic modeling",IF(D113&gt;3,"Does not meet design criteria","Taken from hydrologic modeling"))</f>
        <v>Taken from hydrologic modeling</v>
      </c>
      <c r="G113" s="344"/>
      <c r="H113" s="344"/>
    </row>
    <row r="114" spans="1:8" ht="14.5" customHeight="1" x14ac:dyDescent="0.35">
      <c r="A114" s="342" t="s">
        <v>331</v>
      </c>
      <c r="B114" s="343"/>
      <c r="C114" s="198" t="s">
        <v>332</v>
      </c>
      <c r="D114" s="51"/>
      <c r="E114" s="192" t="s">
        <v>271</v>
      </c>
      <c r="F114" s="345" t="str">
        <f>IF(D114&lt;2,"Does not meet design criteria",IF(D114&gt;6,"Does not meet design criteria",""))</f>
        <v>Does not meet design criteria</v>
      </c>
      <c r="G114" s="345"/>
      <c r="H114" s="345"/>
    </row>
    <row r="115" spans="1:8" ht="14.5" customHeight="1" x14ac:dyDescent="0.35">
      <c r="A115" s="342" t="s">
        <v>333</v>
      </c>
      <c r="B115" s="343"/>
      <c r="C115" s="198" t="s">
        <v>334</v>
      </c>
      <c r="D115" s="51"/>
      <c r="E115" s="192" t="s">
        <v>271</v>
      </c>
      <c r="F115" s="344" t="str">
        <f>IF(D115="","Taken from hydrologic modeling", IF(D115&gt;0.3333,"Does not meet design criteria","Taken from hydrologic modeling"))</f>
        <v>Taken from hydrologic modeling</v>
      </c>
      <c r="G115" s="344"/>
      <c r="H115" s="344"/>
    </row>
    <row r="116" spans="1:8" ht="14.5" customHeight="1" x14ac:dyDescent="0.35">
      <c r="A116" s="342" t="s">
        <v>335</v>
      </c>
      <c r="B116" s="343"/>
      <c r="C116" s="198" t="s">
        <v>336</v>
      </c>
      <c r="D116" s="51"/>
      <c r="E116" s="192" t="s">
        <v>337</v>
      </c>
      <c r="F116" s="345" t="str">
        <f>IF(D116="","",IF(D116&lt;3,"Does not meet design criteria",""))</f>
        <v/>
      </c>
      <c r="G116" s="345"/>
      <c r="H116" s="345"/>
    </row>
    <row r="117" spans="1:8" ht="14.5" customHeight="1" x14ac:dyDescent="0.35">
      <c r="A117" s="342" t="s">
        <v>338</v>
      </c>
      <c r="B117" s="343"/>
      <c r="C117" s="198" t="s">
        <v>339</v>
      </c>
      <c r="D117" s="137">
        <f>D114+(2)*(D116)*(D115)</f>
        <v>0</v>
      </c>
      <c r="E117" s="192" t="s">
        <v>271</v>
      </c>
      <c r="F117" s="344"/>
      <c r="G117" s="344"/>
      <c r="H117" s="344"/>
    </row>
    <row r="118" spans="1:8" ht="14.5" customHeight="1" x14ac:dyDescent="0.35">
      <c r="A118" s="342" t="s">
        <v>340</v>
      </c>
      <c r="B118" s="343"/>
      <c r="C118" s="198" t="s">
        <v>341</v>
      </c>
      <c r="D118" s="137">
        <f>D114+(((D115^2)+(D116*D115)^2)^0.5)*2</f>
        <v>0</v>
      </c>
      <c r="E118" s="192" t="s">
        <v>271</v>
      </c>
      <c r="F118" s="344"/>
      <c r="G118" s="344"/>
      <c r="H118" s="344"/>
    </row>
    <row r="119" spans="1:8" ht="14.5" customHeight="1" x14ac:dyDescent="0.35">
      <c r="A119" s="342" t="s">
        <v>342</v>
      </c>
      <c r="B119" s="343"/>
      <c r="C119" s="198" t="s">
        <v>343</v>
      </c>
      <c r="D119" s="137">
        <f>(D115*(D114+D117))/2</f>
        <v>0</v>
      </c>
      <c r="E119" s="192" t="s">
        <v>316</v>
      </c>
      <c r="F119" s="344"/>
      <c r="G119" s="344"/>
      <c r="H119" s="344"/>
    </row>
    <row r="120" spans="1:8" ht="25.9" customHeight="1" x14ac:dyDescent="0.35">
      <c r="A120" s="342" t="s">
        <v>344</v>
      </c>
      <c r="B120" s="343"/>
      <c r="C120" s="198" t="s">
        <v>345</v>
      </c>
      <c r="D120" s="137" t="str">
        <f>IF(D113="","",D113/D119)</f>
        <v/>
      </c>
      <c r="E120" s="192" t="s">
        <v>346</v>
      </c>
      <c r="F120" s="344" t="str">
        <f>IF(D120&gt;1,"Does not meet design criteria","")</f>
        <v>Does not meet design criteria</v>
      </c>
      <c r="G120" s="344"/>
      <c r="H120" s="344"/>
    </row>
    <row r="121" spans="1:8" ht="14.5" customHeight="1" x14ac:dyDescent="0.35">
      <c r="A121" s="342" t="s">
        <v>347</v>
      </c>
      <c r="B121" s="343"/>
      <c r="C121" s="198"/>
      <c r="D121" s="50"/>
      <c r="E121" s="192" t="s">
        <v>261</v>
      </c>
      <c r="F121" s="344"/>
      <c r="G121" s="344"/>
      <c r="H121" s="344"/>
    </row>
    <row r="122" spans="1:8" ht="14.5" customHeight="1" x14ac:dyDescent="0.35">
      <c r="A122" s="343" t="s">
        <v>348</v>
      </c>
      <c r="B122" s="285"/>
      <c r="C122" s="198" t="s">
        <v>349</v>
      </c>
      <c r="D122" s="137" t="e">
        <f>IF((D121*60*D120)&lt;100,100,(D121*60*D120))</f>
        <v>#VALUE!</v>
      </c>
      <c r="E122" s="192" t="s">
        <v>271</v>
      </c>
      <c r="F122" s="344" t="str">
        <f>IF(D123="","",IF(D123&lt;D122,"Does not meet design criteria",""))</f>
        <v/>
      </c>
      <c r="G122" s="344"/>
      <c r="H122" s="344"/>
    </row>
    <row r="123" spans="1:8" ht="14.5" customHeight="1" x14ac:dyDescent="0.35">
      <c r="A123" s="343" t="s">
        <v>350</v>
      </c>
      <c r="B123" s="285"/>
      <c r="C123" s="198" t="s">
        <v>351</v>
      </c>
      <c r="D123" s="50"/>
      <c r="E123" s="192" t="s">
        <v>271</v>
      </c>
    </row>
    <row r="124" spans="1:8" ht="14.5" customHeight="1" x14ac:dyDescent="0.35">
      <c r="A124" s="343" t="s">
        <v>352</v>
      </c>
      <c r="B124" s="285"/>
      <c r="C124" s="198" t="s">
        <v>353</v>
      </c>
      <c r="D124" s="50"/>
      <c r="E124" s="192" t="s">
        <v>266</v>
      </c>
      <c r="F124" s="344" t="str">
        <f>IF(D124&lt;0.005,"Does not meet design criteria",IF(D124&gt;0.04,"Does not meet design criteria",""))</f>
        <v>Does not meet design criteria</v>
      </c>
      <c r="G124" s="344"/>
      <c r="H124" s="344"/>
    </row>
    <row r="125" spans="1:8" ht="14.5" customHeight="1" x14ac:dyDescent="0.35">
      <c r="A125" s="342" t="s">
        <v>354</v>
      </c>
      <c r="B125" s="342"/>
      <c r="C125" s="198" t="s">
        <v>355</v>
      </c>
      <c r="D125" s="140"/>
      <c r="E125" s="192" t="s">
        <v>271</v>
      </c>
      <c r="F125" s="345"/>
      <c r="G125" s="345"/>
      <c r="H125" s="345"/>
    </row>
    <row r="126" spans="1:8" ht="14.5" customHeight="1" x14ac:dyDescent="0.35">
      <c r="A126" s="343" t="s">
        <v>356</v>
      </c>
      <c r="B126" s="363"/>
      <c r="C126" s="198" t="s">
        <v>357</v>
      </c>
      <c r="D126" s="62" t="str">
        <f>IF(D124="","",D125/D124)</f>
        <v/>
      </c>
      <c r="E126" s="192" t="s">
        <v>271</v>
      </c>
      <c r="F126" s="345"/>
      <c r="G126" s="345"/>
      <c r="H126" s="345"/>
    </row>
    <row r="127" spans="1:8" ht="26.25" customHeight="1" x14ac:dyDescent="0.35">
      <c r="A127" s="342" t="s">
        <v>358</v>
      </c>
      <c r="B127" s="342"/>
      <c r="C127" s="198" t="s">
        <v>217</v>
      </c>
      <c r="D127" s="62" t="str">
        <f>IF(D126="","",D123/D126)</f>
        <v/>
      </c>
      <c r="E127" s="192"/>
      <c r="F127" s="345"/>
      <c r="G127" s="345"/>
      <c r="H127" s="345"/>
    </row>
    <row r="128" spans="1:8" ht="14.5" customHeight="1" x14ac:dyDescent="0.35">
      <c r="A128" s="342" t="s">
        <v>359</v>
      </c>
      <c r="B128" s="342"/>
      <c r="C128" s="198" t="s">
        <v>360</v>
      </c>
      <c r="D128" s="140"/>
      <c r="E128" s="192" t="s">
        <v>271</v>
      </c>
      <c r="F128" s="344" t="s">
        <v>330</v>
      </c>
      <c r="G128" s="344"/>
      <c r="H128" s="344"/>
    </row>
    <row r="129" spans="1:9" x14ac:dyDescent="0.35">
      <c r="A129" s="342" t="s">
        <v>361</v>
      </c>
      <c r="B129" s="342"/>
      <c r="C129" s="198" t="s">
        <v>362</v>
      </c>
      <c r="D129" s="62">
        <f>D114+(2)*(D116)*(D128)</f>
        <v>0</v>
      </c>
      <c r="E129" s="192" t="s">
        <v>271</v>
      </c>
      <c r="F129" s="345"/>
      <c r="G129" s="345"/>
      <c r="H129" s="345"/>
    </row>
    <row r="130" spans="1:9" x14ac:dyDescent="0.35">
      <c r="A130" s="342" t="s">
        <v>363</v>
      </c>
      <c r="B130" s="342"/>
      <c r="C130" s="198" t="s">
        <v>364</v>
      </c>
      <c r="D130" s="62">
        <f>(D128*(D114+D129))/2</f>
        <v>0</v>
      </c>
      <c r="E130" s="192" t="s">
        <v>316</v>
      </c>
      <c r="F130" s="345"/>
      <c r="G130" s="345"/>
      <c r="H130" s="345"/>
    </row>
    <row r="131" spans="1:9" ht="14.5" customHeight="1" x14ac:dyDescent="0.35">
      <c r="A131" s="342" t="s">
        <v>365</v>
      </c>
      <c r="B131" s="342"/>
      <c r="C131" s="198" t="s">
        <v>366</v>
      </c>
      <c r="D131" s="62">
        <f>D114+(((D128^2)+(D116*D128)^2)^0.5)*2</f>
        <v>0</v>
      </c>
      <c r="E131" s="192" t="s">
        <v>271</v>
      </c>
      <c r="F131" s="345"/>
      <c r="G131" s="345"/>
      <c r="H131" s="345"/>
    </row>
    <row r="132" spans="1:9" ht="14.5" customHeight="1" x14ac:dyDescent="0.35">
      <c r="A132" s="342" t="s">
        <v>367</v>
      </c>
      <c r="B132" s="342"/>
      <c r="C132" s="198" t="s">
        <v>268</v>
      </c>
      <c r="D132" s="140"/>
      <c r="E132" s="192"/>
      <c r="F132" s="345" t="s">
        <v>368</v>
      </c>
      <c r="G132" s="345"/>
      <c r="H132" s="345"/>
    </row>
    <row r="133" spans="1:9" ht="25.9" customHeight="1" x14ac:dyDescent="0.35">
      <c r="A133" s="342" t="s">
        <v>369</v>
      </c>
      <c r="B133" s="342"/>
      <c r="C133" s="198" t="s">
        <v>370</v>
      </c>
      <c r="D133" s="62" t="str">
        <f>IF(D132="","",(1.49/D132)*((D130/D131)^(2/3))*(D124^0.5))</f>
        <v/>
      </c>
      <c r="E133" s="192" t="s">
        <v>346</v>
      </c>
      <c r="F133" s="345" t="str">
        <f>IF(D133="","",IF(D133&gt;5,"Does not meet design criteria",""))</f>
        <v/>
      </c>
      <c r="G133" s="345"/>
      <c r="H133" s="345"/>
    </row>
    <row r="134" spans="1:9" ht="27.4" customHeight="1" x14ac:dyDescent="0.35">
      <c r="A134" s="342" t="s">
        <v>371</v>
      </c>
      <c r="B134" s="342"/>
      <c r="C134" s="198"/>
      <c r="D134" s="140"/>
      <c r="E134" s="192" t="s">
        <v>271</v>
      </c>
      <c r="F134" s="345" t="str">
        <f>IF(D134="","Taken from hydrologic modeling",IF(D134&lt;0.5,"Does not meet design criteria","Taken from hydrologic modeling"))</f>
        <v>Taken from hydrologic modeling</v>
      </c>
      <c r="G134" s="345"/>
      <c r="H134" s="345"/>
    </row>
    <row r="135" spans="1:9" ht="14.5" customHeight="1" x14ac:dyDescent="0.35">
      <c r="A135" s="337" t="s">
        <v>372</v>
      </c>
      <c r="B135" s="337"/>
      <c r="C135" s="337"/>
      <c r="D135" s="337"/>
      <c r="E135" s="338"/>
      <c r="F135" s="338"/>
      <c r="G135" s="338"/>
      <c r="H135" s="338"/>
    </row>
    <row r="136" spans="1:9" x14ac:dyDescent="0.35">
      <c r="A136" s="240" t="s">
        <v>241</v>
      </c>
      <c r="B136" s="240"/>
      <c r="C136" s="240"/>
      <c r="D136" s="9" t="str">
        <f>IF(A106="","",IF(D110="Yes",0,IF(D109="Yes",0,IF(D113&gt;3,0,IF(D114&lt;2,0,IF(D114&gt;6,0,IF(D115&lt;0.33,0,IF(D116&lt;3,0,IF(D120&gt;1,0,IF(D124&lt;0.005,0,IF(D124&gt;0.04,0,IF(D123&lt;100,0,IF(D133&gt;5,0,IF(D134&lt;0.5,0,IF(D123&lt;D122,0,IF(D108="A",F106*0.2,IF(D108="B",F106*0.2,IF(D108="C",F106*0.1,IF(D108="D",F106*0.1,IF(D108="Modified C",F106*0.15,IF(D108="Modified D",F106*0.12)))))))))))))))))))))</f>
        <v/>
      </c>
      <c r="E136" s="339" t="s">
        <v>2</v>
      </c>
      <c r="F136" s="340"/>
      <c r="G136" s="340"/>
      <c r="H136" s="341"/>
    </row>
    <row r="137" spans="1:9" ht="14.25" customHeight="1" x14ac:dyDescent="0.35">
      <c r="A137" s="16" t="s">
        <v>56</v>
      </c>
      <c r="B137" s="225" t="str">
        <f>IF('STEP 2-WQv Calculation'!$B$4="","",'STEP 2-WQv Calculation'!$B$4)</f>
        <v/>
      </c>
      <c r="C137" s="4"/>
      <c r="D137" s="4"/>
      <c r="E137" s="4" t="s">
        <v>324</v>
      </c>
      <c r="F137" s="4"/>
      <c r="G137" s="4"/>
      <c r="H137" s="4"/>
    </row>
    <row r="138" spans="1:9" ht="14.5" customHeight="1" x14ac:dyDescent="0.35">
      <c r="A138" s="273" t="s">
        <v>293</v>
      </c>
      <c r="B138" s="273"/>
      <c r="C138" s="273"/>
      <c r="D138" s="273"/>
      <c r="E138" s="273"/>
      <c r="F138" s="273"/>
      <c r="G138" s="273"/>
      <c r="H138" s="273"/>
    </row>
    <row r="139" spans="1:9" ht="38.5" x14ac:dyDescent="0.35">
      <c r="A139" s="204" t="s">
        <v>60</v>
      </c>
      <c r="B139" s="205" t="s">
        <v>61</v>
      </c>
      <c r="C139" s="205" t="s">
        <v>62</v>
      </c>
      <c r="D139" s="205" t="s">
        <v>63</v>
      </c>
      <c r="E139" s="205" t="s">
        <v>64</v>
      </c>
      <c r="F139" s="205" t="s">
        <v>65</v>
      </c>
      <c r="G139" s="205" t="s">
        <v>244</v>
      </c>
      <c r="H139" s="206" t="s">
        <v>13</v>
      </c>
    </row>
    <row r="140" spans="1:9" x14ac:dyDescent="0.35">
      <c r="A140" s="218"/>
      <c r="B140" s="3" t="str">
        <f>IF($A140="","",(LOOKUP($A140,'STEP 2-WQv Calculation'!$A$8:$A$37,'STEP 2-WQv Calculation'!$B$8:$B$37)))</f>
        <v/>
      </c>
      <c r="C140" s="3" t="str">
        <f>IF($A140="","",(LOOKUP($A140,'STEP 2-WQv Calculation'!$A$8:$A$37,'STEP 2-WQv Calculation'!$C$8:$C$37)))</f>
        <v/>
      </c>
      <c r="D140" s="212" t="str">
        <f>IF($A140="","",(LOOKUP($A140,'STEP 2-WQv Calculation'!$A$8:$A$37,'STEP 2-WQv Calculation'!$D$8:$D$37)))</f>
        <v/>
      </c>
      <c r="E140" s="3" t="str">
        <f>IF($A140="","",(LOOKUP($A140,'STEP 2-WQv Calculation'!$A$8:$A$37,'STEP 2-WQv Calculation'!$E$8:$E$37)))</f>
        <v/>
      </c>
      <c r="F140" s="217" t="str">
        <f>IF($A140="","",(LOOKUP($A140,'STEP 2-WQv Calculation'!$A$8:$A$37,'STEP 2-WQv Calculation'!$F$8:$F$37)))</f>
        <v/>
      </c>
      <c r="G140" s="22">
        <f>'STEP 2-WQv Calculation'!B5</f>
        <v>0</v>
      </c>
      <c r="H140" s="198" t="str">
        <f>IF($A140="","",(LOOKUP($A140,'STEP 2-WQv Calculation'!$A$8:$A$37,'STEP 2-WQv Calculation'!$G$8:$G$37)))</f>
        <v/>
      </c>
    </row>
    <row r="141" spans="1:9" ht="14.5" customHeight="1" x14ac:dyDescent="0.35">
      <c r="A141" s="360" t="s">
        <v>226</v>
      </c>
      <c r="B141" s="361"/>
      <c r="C141" s="361"/>
      <c r="D141" s="361"/>
      <c r="E141" s="361"/>
      <c r="F141" s="361"/>
      <c r="G141" s="361"/>
      <c r="H141" s="362"/>
    </row>
    <row r="142" spans="1:9" x14ac:dyDescent="0.35">
      <c r="A142" s="354" t="s">
        <v>325</v>
      </c>
      <c r="B142" s="355"/>
      <c r="C142" s="356"/>
      <c r="D142" s="139"/>
      <c r="E142" s="357"/>
      <c r="F142" s="358"/>
      <c r="G142" s="358"/>
      <c r="H142" s="359"/>
    </row>
    <row r="143" spans="1:9" ht="14.5" customHeight="1" x14ac:dyDescent="0.35">
      <c r="A143" s="242" t="s">
        <v>326</v>
      </c>
      <c r="B143" s="243"/>
      <c r="C143" s="244"/>
      <c r="D143" s="135" t="str">
        <f>IF(B140="","",IF(B140&gt;5,"Yes","No"))</f>
        <v/>
      </c>
      <c r="E143" s="322" t="str">
        <f>IF(D143="Yes","Does not meet design criteria","")</f>
        <v/>
      </c>
      <c r="F143" s="323"/>
      <c r="G143" s="323"/>
      <c r="H143" s="324"/>
    </row>
    <row r="144" spans="1:9" ht="26.5" customHeight="1" x14ac:dyDescent="0.35">
      <c r="A144" s="245" t="s">
        <v>247</v>
      </c>
      <c r="B144" s="245"/>
      <c r="C144" s="245"/>
      <c r="D144" s="211"/>
      <c r="E144" s="322" t="str">
        <f>IF(D144="","This practice cannot be used for hotspot treatment",IF(D144="Yes","Does not meet design criteria",""))</f>
        <v>This practice cannot be used for hotspot treatment</v>
      </c>
      <c r="F144" s="323"/>
      <c r="G144" s="323"/>
      <c r="H144" s="324"/>
      <c r="I144" s="4"/>
    </row>
    <row r="145" spans="1:8" ht="14.5" customHeight="1" x14ac:dyDescent="0.35">
      <c r="A145" s="273" t="s">
        <v>232</v>
      </c>
      <c r="B145" s="273"/>
      <c r="C145" s="273"/>
      <c r="D145" s="273"/>
      <c r="E145" s="273"/>
      <c r="F145" s="273"/>
      <c r="G145" s="273"/>
      <c r="H145" s="273"/>
    </row>
    <row r="146" spans="1:8" x14ac:dyDescent="0.35">
      <c r="A146" s="346"/>
      <c r="B146" s="347"/>
      <c r="C146" s="348"/>
      <c r="D146" s="47" t="s">
        <v>256</v>
      </c>
      <c r="E146" s="48" t="s">
        <v>257</v>
      </c>
      <c r="F146" s="349" t="s">
        <v>258</v>
      </c>
      <c r="G146" s="350"/>
      <c r="H146" s="351"/>
    </row>
    <row r="147" spans="1:8" ht="28.15" customHeight="1" x14ac:dyDescent="0.35">
      <c r="A147" s="352" t="s">
        <v>327</v>
      </c>
      <c r="B147" s="353"/>
      <c r="C147" s="198" t="s">
        <v>328</v>
      </c>
      <c r="D147" s="51"/>
      <c r="E147" s="136" t="s">
        <v>329</v>
      </c>
      <c r="F147" s="344" t="str">
        <f>IF(D147="","Taken from hydrologic modeling",IF(D147&gt;3,"Does not meet design criteria","Taken from hydrologic modeling"))</f>
        <v>Taken from hydrologic modeling</v>
      </c>
      <c r="G147" s="344"/>
      <c r="H147" s="344"/>
    </row>
    <row r="148" spans="1:8" ht="14.5" customHeight="1" x14ac:dyDescent="0.35">
      <c r="A148" s="342" t="s">
        <v>331</v>
      </c>
      <c r="B148" s="343"/>
      <c r="C148" s="198" t="s">
        <v>332</v>
      </c>
      <c r="D148" s="51"/>
      <c r="E148" s="192" t="s">
        <v>271</v>
      </c>
      <c r="F148" s="345" t="str">
        <f>IF(D148&lt;2,"Does not meet design criteria",IF(D148&gt;6,"Does not meet design criteria",""))</f>
        <v>Does not meet design criteria</v>
      </c>
      <c r="G148" s="345"/>
      <c r="H148" s="345"/>
    </row>
    <row r="149" spans="1:8" ht="14.5" customHeight="1" x14ac:dyDescent="0.35">
      <c r="A149" s="342" t="s">
        <v>333</v>
      </c>
      <c r="B149" s="343"/>
      <c r="C149" s="198" t="s">
        <v>334</v>
      </c>
      <c r="D149" s="51"/>
      <c r="E149" s="192" t="s">
        <v>271</v>
      </c>
      <c r="F149" s="344" t="str">
        <f>IF(D149="","Taken from hydrologic modeling", IF(D149&gt;0.3333,"Does not meet design criteria","Taken from hydrologic modeling"))</f>
        <v>Taken from hydrologic modeling</v>
      </c>
      <c r="G149" s="344"/>
      <c r="H149" s="344"/>
    </row>
    <row r="150" spans="1:8" ht="14.5" customHeight="1" x14ac:dyDescent="0.35">
      <c r="A150" s="342" t="s">
        <v>335</v>
      </c>
      <c r="B150" s="343"/>
      <c r="C150" s="198" t="s">
        <v>336</v>
      </c>
      <c r="D150" s="51"/>
      <c r="E150" s="192" t="s">
        <v>337</v>
      </c>
      <c r="F150" s="345" t="str">
        <f>IF(D150="","",IF(D150&lt;3,"Does not meet design criteria",""))</f>
        <v/>
      </c>
      <c r="G150" s="345"/>
      <c r="H150" s="345"/>
    </row>
    <row r="151" spans="1:8" ht="14.5" customHeight="1" x14ac:dyDescent="0.35">
      <c r="A151" s="342" t="s">
        <v>338</v>
      </c>
      <c r="B151" s="343"/>
      <c r="C151" s="198" t="s">
        <v>339</v>
      </c>
      <c r="D151" s="137">
        <f>D148+(2)*(D150)*(D149)</f>
        <v>0</v>
      </c>
      <c r="E151" s="192" t="s">
        <v>271</v>
      </c>
      <c r="F151" s="344"/>
      <c r="G151" s="344"/>
      <c r="H151" s="344"/>
    </row>
    <row r="152" spans="1:8" ht="14.5" customHeight="1" x14ac:dyDescent="0.35">
      <c r="A152" s="342" t="s">
        <v>340</v>
      </c>
      <c r="B152" s="343"/>
      <c r="C152" s="198" t="s">
        <v>341</v>
      </c>
      <c r="D152" s="137">
        <f>D148+(((D149^2)+(D150*D149)^2)^0.5)*2</f>
        <v>0</v>
      </c>
      <c r="E152" s="192" t="s">
        <v>271</v>
      </c>
      <c r="F152" s="344"/>
      <c r="G152" s="344"/>
      <c r="H152" s="344"/>
    </row>
    <row r="153" spans="1:8" ht="14.5" customHeight="1" x14ac:dyDescent="0.35">
      <c r="A153" s="342" t="s">
        <v>342</v>
      </c>
      <c r="B153" s="343"/>
      <c r="C153" s="198" t="s">
        <v>343</v>
      </c>
      <c r="D153" s="137">
        <f>(D149*(D148+D151))/2</f>
        <v>0</v>
      </c>
      <c r="E153" s="192" t="s">
        <v>316</v>
      </c>
      <c r="F153" s="344"/>
      <c r="G153" s="344"/>
      <c r="H153" s="344"/>
    </row>
    <row r="154" spans="1:8" ht="28.5" customHeight="1" x14ac:dyDescent="0.35">
      <c r="A154" s="342" t="s">
        <v>344</v>
      </c>
      <c r="B154" s="343"/>
      <c r="C154" s="198" t="s">
        <v>345</v>
      </c>
      <c r="D154" s="137" t="str">
        <f>IF(D147="","",D147/D153)</f>
        <v/>
      </c>
      <c r="E154" s="192" t="s">
        <v>346</v>
      </c>
      <c r="F154" s="344" t="str">
        <f>IF(D154&gt;1,"Does not meet design criteria","")</f>
        <v>Does not meet design criteria</v>
      </c>
      <c r="G154" s="344"/>
      <c r="H154" s="344"/>
    </row>
    <row r="155" spans="1:8" ht="14.5" customHeight="1" x14ac:dyDescent="0.35">
      <c r="A155" s="342" t="s">
        <v>347</v>
      </c>
      <c r="B155" s="343"/>
      <c r="C155" s="198"/>
      <c r="D155" s="50"/>
      <c r="E155" s="192" t="s">
        <v>261</v>
      </c>
      <c r="F155" s="344"/>
      <c r="G155" s="344"/>
      <c r="H155" s="344"/>
    </row>
    <row r="156" spans="1:8" ht="14.5" customHeight="1" x14ac:dyDescent="0.35">
      <c r="A156" s="343" t="s">
        <v>348</v>
      </c>
      <c r="B156" s="285"/>
      <c r="C156" s="198" t="s">
        <v>349</v>
      </c>
      <c r="D156" s="137" t="e">
        <f>IF((D155*60*D154)&lt;100,100,(D155*60*D154))</f>
        <v>#VALUE!</v>
      </c>
      <c r="E156" s="192" t="s">
        <v>271</v>
      </c>
      <c r="F156" s="344"/>
      <c r="G156" s="344"/>
      <c r="H156" s="344"/>
    </row>
    <row r="157" spans="1:8" ht="14.5" customHeight="1" x14ac:dyDescent="0.35">
      <c r="A157" s="343" t="s">
        <v>350</v>
      </c>
      <c r="B157" s="285"/>
      <c r="C157" s="198" t="s">
        <v>351</v>
      </c>
      <c r="D157" s="50"/>
      <c r="E157" s="192" t="s">
        <v>271</v>
      </c>
      <c r="F157" s="344" t="str">
        <f>IF(D157="","",IF(D157&lt;D156,"Does not meet design criteria",""))</f>
        <v/>
      </c>
      <c r="G157" s="344"/>
      <c r="H157" s="344"/>
    </row>
    <row r="158" spans="1:8" ht="14.5" customHeight="1" x14ac:dyDescent="0.35">
      <c r="A158" s="343" t="s">
        <v>352</v>
      </c>
      <c r="B158" s="285"/>
      <c r="C158" s="198" t="s">
        <v>353</v>
      </c>
      <c r="D158" s="50"/>
      <c r="E158" s="192" t="s">
        <v>266</v>
      </c>
      <c r="F158" s="344" t="str">
        <f>IF(D158&lt;0.005,"Does not meet design criteria",IF(D158&gt;0.04,"Does not meet design criteria",""))</f>
        <v>Does not meet design criteria</v>
      </c>
      <c r="G158" s="344"/>
      <c r="H158" s="344"/>
    </row>
    <row r="159" spans="1:8" ht="14.5" customHeight="1" x14ac:dyDescent="0.35">
      <c r="A159" s="342" t="s">
        <v>354</v>
      </c>
      <c r="B159" s="342"/>
      <c r="C159" s="198" t="s">
        <v>355</v>
      </c>
      <c r="D159" s="140"/>
      <c r="E159" s="192" t="s">
        <v>271</v>
      </c>
      <c r="F159" s="345"/>
      <c r="G159" s="345"/>
      <c r="H159" s="345"/>
    </row>
    <row r="160" spans="1:8" ht="14.5" customHeight="1" x14ac:dyDescent="0.35">
      <c r="A160" s="343" t="s">
        <v>356</v>
      </c>
      <c r="B160" s="363"/>
      <c r="C160" s="198" t="s">
        <v>357</v>
      </c>
      <c r="D160" s="62" t="str">
        <f>IF(D158="","",D159/D158)</f>
        <v/>
      </c>
      <c r="E160" s="192" t="s">
        <v>271</v>
      </c>
      <c r="F160" s="345"/>
      <c r="G160" s="345"/>
      <c r="H160" s="345"/>
    </row>
    <row r="161" spans="1:8" ht="31.9" customHeight="1" x14ac:dyDescent="0.35">
      <c r="A161" s="342" t="s">
        <v>358</v>
      </c>
      <c r="B161" s="342"/>
      <c r="C161" s="198" t="s">
        <v>217</v>
      </c>
      <c r="D161" s="62" t="str">
        <f>IF(D160="","",D157/D160)</f>
        <v/>
      </c>
      <c r="E161" s="192"/>
      <c r="F161" s="345"/>
      <c r="G161" s="345"/>
      <c r="H161" s="345"/>
    </row>
    <row r="162" spans="1:8" ht="14.5" customHeight="1" x14ac:dyDescent="0.35">
      <c r="A162" s="342" t="s">
        <v>359</v>
      </c>
      <c r="B162" s="342"/>
      <c r="C162" s="198" t="s">
        <v>360</v>
      </c>
      <c r="D162" s="140"/>
      <c r="E162" s="192" t="s">
        <v>271</v>
      </c>
      <c r="F162" s="344" t="s">
        <v>330</v>
      </c>
      <c r="G162" s="344"/>
      <c r="H162" s="344"/>
    </row>
    <row r="163" spans="1:8" x14ac:dyDescent="0.35">
      <c r="A163" s="342" t="s">
        <v>361</v>
      </c>
      <c r="B163" s="342"/>
      <c r="C163" s="198" t="s">
        <v>362</v>
      </c>
      <c r="D163" s="62">
        <f>D148+(2)*(D150)*(D162)</f>
        <v>0</v>
      </c>
      <c r="E163" s="192" t="s">
        <v>271</v>
      </c>
      <c r="F163" s="345"/>
      <c r="G163" s="345"/>
      <c r="H163" s="345"/>
    </row>
    <row r="164" spans="1:8" x14ac:dyDescent="0.35">
      <c r="A164" s="342" t="s">
        <v>363</v>
      </c>
      <c r="B164" s="342"/>
      <c r="C164" s="198" t="s">
        <v>364</v>
      </c>
      <c r="D164" s="62">
        <f>(D162*(D148+D163))/2</f>
        <v>0</v>
      </c>
      <c r="E164" s="192" t="s">
        <v>316</v>
      </c>
      <c r="F164" s="345"/>
      <c r="G164" s="345"/>
      <c r="H164" s="345"/>
    </row>
    <row r="165" spans="1:8" ht="14.5" customHeight="1" x14ac:dyDescent="0.35">
      <c r="A165" s="342" t="s">
        <v>365</v>
      </c>
      <c r="B165" s="342"/>
      <c r="C165" s="198" t="s">
        <v>366</v>
      </c>
      <c r="D165" s="62">
        <f>D148+(((D162^2)+(D150*D162)^2)^0.5)*2</f>
        <v>0</v>
      </c>
      <c r="E165" s="192" t="s">
        <v>271</v>
      </c>
      <c r="F165" s="345"/>
      <c r="G165" s="345"/>
      <c r="H165" s="345"/>
    </row>
    <row r="166" spans="1:8" ht="14.5" customHeight="1" x14ac:dyDescent="0.35">
      <c r="A166" s="342" t="s">
        <v>367</v>
      </c>
      <c r="B166" s="342"/>
      <c r="C166" s="198" t="s">
        <v>268</v>
      </c>
      <c r="D166" s="140"/>
      <c r="E166" s="192"/>
      <c r="F166" s="345" t="s">
        <v>368</v>
      </c>
      <c r="G166" s="345"/>
      <c r="H166" s="345"/>
    </row>
    <row r="167" spans="1:8" ht="24.75" customHeight="1" x14ac:dyDescent="0.35">
      <c r="A167" s="342" t="s">
        <v>369</v>
      </c>
      <c r="B167" s="342"/>
      <c r="C167" s="198" t="s">
        <v>370</v>
      </c>
      <c r="D167" s="62" t="str">
        <f>IF(D166="","",(1.49/D166)*((D164/D165)^(2/3))*(D158^0.5))</f>
        <v/>
      </c>
      <c r="E167" s="192" t="s">
        <v>346</v>
      </c>
      <c r="F167" s="345" t="str">
        <f>IF(D167="","",IF(D167&gt;5,"Does not meet design criteria",""))</f>
        <v/>
      </c>
      <c r="G167" s="345"/>
      <c r="H167" s="345"/>
    </row>
    <row r="168" spans="1:8" ht="28.15" customHeight="1" x14ac:dyDescent="0.35">
      <c r="A168" s="342" t="s">
        <v>371</v>
      </c>
      <c r="B168" s="342"/>
      <c r="C168" s="198"/>
      <c r="D168" s="140"/>
      <c r="E168" s="192" t="s">
        <v>271</v>
      </c>
      <c r="F168" s="345" t="str">
        <f>IF(D168="","Taken from hydrologic modeling",IF(D168&lt;0.5,"Does not meet design criteria","Taken from hydrologic modeling"))</f>
        <v>Taken from hydrologic modeling</v>
      </c>
      <c r="G168" s="345"/>
      <c r="H168" s="345"/>
    </row>
    <row r="169" spans="1:8" ht="14.5" customHeight="1" x14ac:dyDescent="0.35">
      <c r="A169" s="337" t="s">
        <v>372</v>
      </c>
      <c r="B169" s="337"/>
      <c r="C169" s="337"/>
      <c r="D169" s="337"/>
      <c r="E169" s="338"/>
      <c r="F169" s="338"/>
      <c r="G169" s="338"/>
      <c r="H169" s="338"/>
    </row>
    <row r="170" spans="1:8" x14ac:dyDescent="0.35">
      <c r="A170" s="240" t="s">
        <v>241</v>
      </c>
      <c r="B170" s="240"/>
      <c r="C170" s="240"/>
      <c r="D170" s="9" t="str">
        <f>IF(A140="","",IF(D144="Yes",0,IF(D143="Yes",0,IF(D147&gt;3,0,IF(D148&lt;2,0,IF(D148&gt;6,0,IF(D149&lt;0.33,0,IF(D150&lt;3,0,IF(D154&gt;1,0,IF(D158&lt;0.005,0,IF(D158&gt;0.04,0,IF(D157&lt;100,0,IF(D167&gt;5,0,IF(D168&lt;0.5,0,IF(D157&lt;D156,0,IF(D142="A",F140*0.2,IF(D142="B",F140*0.2,IF(D142="C",F140*0.1,IF(D142="D",F140*0.1,IF(D142="Modified C",F140*0.15,IF(D142="Modified D",F140*0.12)))))))))))))))))))))</f>
        <v/>
      </c>
      <c r="E170" s="339" t="s">
        <v>2</v>
      </c>
      <c r="F170" s="340"/>
      <c r="G170" s="340"/>
      <c r="H170" s="341"/>
    </row>
    <row r="171" spans="1:8" x14ac:dyDescent="0.35">
      <c r="A171" s="16" t="s">
        <v>56</v>
      </c>
      <c r="B171" s="225" t="str">
        <f>IF('STEP 2-WQv Calculation'!$B$4="","",'STEP 2-WQv Calculation'!$B$4)</f>
        <v/>
      </c>
      <c r="C171" s="4"/>
      <c r="D171" s="4"/>
      <c r="E171" s="4" t="s">
        <v>324</v>
      </c>
      <c r="F171" s="4"/>
      <c r="G171" s="4"/>
      <c r="H171" s="4"/>
    </row>
    <row r="172" spans="1:8" x14ac:dyDescent="0.35">
      <c r="A172" s="273" t="s">
        <v>293</v>
      </c>
      <c r="B172" s="273"/>
      <c r="C172" s="273"/>
      <c r="D172" s="273"/>
      <c r="E172" s="273"/>
      <c r="F172" s="273"/>
      <c r="G172" s="273"/>
      <c r="H172" s="273"/>
    </row>
    <row r="173" spans="1:8" ht="38.5" x14ac:dyDescent="0.35">
      <c r="A173" s="204" t="s">
        <v>60</v>
      </c>
      <c r="B173" s="205" t="s">
        <v>61</v>
      </c>
      <c r="C173" s="205" t="s">
        <v>62</v>
      </c>
      <c r="D173" s="205" t="s">
        <v>63</v>
      </c>
      <c r="E173" s="205" t="s">
        <v>64</v>
      </c>
      <c r="F173" s="205" t="s">
        <v>65</v>
      </c>
      <c r="G173" s="205" t="s">
        <v>244</v>
      </c>
      <c r="H173" s="206" t="s">
        <v>13</v>
      </c>
    </row>
    <row r="174" spans="1:8" x14ac:dyDescent="0.35">
      <c r="A174" s="218"/>
      <c r="B174" s="3" t="str">
        <f>IF($A174="","",(LOOKUP($A174,'STEP 2-WQv Calculation'!$A$8:$A$37,'STEP 2-WQv Calculation'!$B$8:$B$37)))</f>
        <v/>
      </c>
      <c r="C174" s="3" t="str">
        <f>IF($A174="","",(LOOKUP($A174,'STEP 2-WQv Calculation'!$A$8:$A$37,'STEP 2-WQv Calculation'!$C$8:$C$37)))</f>
        <v/>
      </c>
      <c r="D174" s="212" t="str">
        <f>IF($A174="","",(LOOKUP($A174,'STEP 2-WQv Calculation'!$A$8:$A$37,'STEP 2-WQv Calculation'!$D$8:$D$37)))</f>
        <v/>
      </c>
      <c r="E174" s="3" t="str">
        <f>IF($A174="","",(LOOKUP($A174,'STEP 2-WQv Calculation'!$A$8:$A$37,'STEP 2-WQv Calculation'!$E$8:$E$37)))</f>
        <v/>
      </c>
      <c r="F174" s="217" t="str">
        <f>IF($A174="","",(LOOKUP($A174,'STEP 2-WQv Calculation'!$A$8:$A$37,'STEP 2-WQv Calculation'!$F$8:$F$37)))</f>
        <v/>
      </c>
      <c r="G174" s="22">
        <f>'STEP 2-WQv Calculation'!B39</f>
        <v>0</v>
      </c>
      <c r="H174" s="198" t="str">
        <f>IF($A174="","",(LOOKUP($A174,'STEP 2-WQv Calculation'!$A$8:$A$37,'STEP 2-WQv Calculation'!$G$8:$G$37)))</f>
        <v/>
      </c>
    </row>
    <row r="175" spans="1:8" x14ac:dyDescent="0.35">
      <c r="A175" s="360" t="s">
        <v>226</v>
      </c>
      <c r="B175" s="361"/>
      <c r="C175" s="361"/>
      <c r="D175" s="361"/>
      <c r="E175" s="361"/>
      <c r="F175" s="361"/>
      <c r="G175" s="361"/>
      <c r="H175" s="362"/>
    </row>
    <row r="176" spans="1:8" x14ac:dyDescent="0.35">
      <c r="A176" s="354" t="s">
        <v>325</v>
      </c>
      <c r="B176" s="355"/>
      <c r="C176" s="356"/>
      <c r="D176" s="139"/>
      <c r="E176" s="357"/>
      <c r="F176" s="358"/>
      <c r="G176" s="358"/>
      <c r="H176" s="359"/>
    </row>
    <row r="177" spans="1:8" x14ac:dyDescent="0.35">
      <c r="A177" s="242" t="s">
        <v>326</v>
      </c>
      <c r="B177" s="243"/>
      <c r="C177" s="244"/>
      <c r="D177" s="135" t="str">
        <f>IF(B174="","",IF(B174&gt;5,"Yes","No"))</f>
        <v/>
      </c>
      <c r="E177" s="322" t="str">
        <f>IF(D177="Yes","Does not meet design criteria","")</f>
        <v/>
      </c>
      <c r="F177" s="323"/>
      <c r="G177" s="323"/>
      <c r="H177" s="324"/>
    </row>
    <row r="178" spans="1:8" x14ac:dyDescent="0.35">
      <c r="A178" s="245" t="s">
        <v>247</v>
      </c>
      <c r="B178" s="245"/>
      <c r="C178" s="245"/>
      <c r="D178" s="211"/>
      <c r="E178" s="322" t="str">
        <f>IF(D178="","This practice cannot be used for hotspot treatment",IF(D178="Yes","Does not meet design criteria",""))</f>
        <v>This practice cannot be used for hotspot treatment</v>
      </c>
      <c r="F178" s="323"/>
      <c r="G178" s="323"/>
      <c r="H178" s="324"/>
    </row>
    <row r="179" spans="1:8" x14ac:dyDescent="0.35">
      <c r="A179" s="273" t="s">
        <v>232</v>
      </c>
      <c r="B179" s="273"/>
      <c r="C179" s="273"/>
      <c r="D179" s="273"/>
      <c r="E179" s="273"/>
      <c r="F179" s="273"/>
      <c r="G179" s="273"/>
      <c r="H179" s="273"/>
    </row>
    <row r="180" spans="1:8" x14ac:dyDescent="0.35">
      <c r="A180" s="346"/>
      <c r="B180" s="347"/>
      <c r="C180" s="348"/>
      <c r="D180" s="47" t="s">
        <v>256</v>
      </c>
      <c r="E180" s="48" t="s">
        <v>257</v>
      </c>
      <c r="F180" s="349" t="s">
        <v>258</v>
      </c>
      <c r="G180" s="350"/>
      <c r="H180" s="351"/>
    </row>
    <row r="181" spans="1:8" x14ac:dyDescent="0.35">
      <c r="A181" s="352" t="s">
        <v>327</v>
      </c>
      <c r="B181" s="353"/>
      <c r="C181" s="198" t="s">
        <v>328</v>
      </c>
      <c r="D181" s="51"/>
      <c r="E181" s="136" t="s">
        <v>329</v>
      </c>
      <c r="F181" s="344" t="str">
        <f>IF(D181="","Taken from hydrologic modeling",IF(D181&gt;3,"Does not meet design criteria","Taken from hydrologic modeling"))</f>
        <v>Taken from hydrologic modeling</v>
      </c>
      <c r="G181" s="344"/>
      <c r="H181" s="344"/>
    </row>
    <row r="182" spans="1:8" x14ac:dyDescent="0.35">
      <c r="A182" s="342" t="s">
        <v>331</v>
      </c>
      <c r="B182" s="343"/>
      <c r="C182" s="198" t="s">
        <v>332</v>
      </c>
      <c r="D182" s="51"/>
      <c r="E182" s="192" t="s">
        <v>271</v>
      </c>
      <c r="F182" s="345" t="str">
        <f>IF(D182&lt;2,"Does not meet design criteria",IF(D182&gt;6,"Does not meet design criteria",""))</f>
        <v>Does not meet design criteria</v>
      </c>
      <c r="G182" s="345"/>
      <c r="H182" s="345"/>
    </row>
    <row r="183" spans="1:8" x14ac:dyDescent="0.35">
      <c r="A183" s="342" t="s">
        <v>333</v>
      </c>
      <c r="B183" s="343"/>
      <c r="C183" s="198" t="s">
        <v>334</v>
      </c>
      <c r="D183" s="51"/>
      <c r="E183" s="192" t="s">
        <v>271</v>
      </c>
      <c r="F183" s="344" t="str">
        <f>IF(D183="","Taken from hydrologic modeling", IF(D183&gt;0.3333,"Does not meet design criteria","Taken from hydrologic modeling"))</f>
        <v>Taken from hydrologic modeling</v>
      </c>
      <c r="G183" s="344"/>
      <c r="H183" s="344"/>
    </row>
    <row r="184" spans="1:8" x14ac:dyDescent="0.35">
      <c r="A184" s="342" t="s">
        <v>335</v>
      </c>
      <c r="B184" s="343"/>
      <c r="C184" s="198" t="s">
        <v>336</v>
      </c>
      <c r="D184" s="51"/>
      <c r="E184" s="192" t="s">
        <v>337</v>
      </c>
      <c r="F184" s="345" t="str">
        <f>IF(D184="","",IF(D184&lt;3,"Does not meet design criteria",""))</f>
        <v/>
      </c>
      <c r="G184" s="345"/>
      <c r="H184" s="345"/>
    </row>
    <row r="185" spans="1:8" x14ac:dyDescent="0.35">
      <c r="A185" s="342" t="s">
        <v>338</v>
      </c>
      <c r="B185" s="343"/>
      <c r="C185" s="198" t="s">
        <v>339</v>
      </c>
      <c r="D185" s="137">
        <f>D182+(2)*(D184)*(D183)</f>
        <v>0</v>
      </c>
      <c r="E185" s="192" t="s">
        <v>271</v>
      </c>
      <c r="F185" s="344"/>
      <c r="G185" s="344"/>
      <c r="H185" s="344"/>
    </row>
    <row r="186" spans="1:8" x14ac:dyDescent="0.35">
      <c r="A186" s="342" t="s">
        <v>340</v>
      </c>
      <c r="B186" s="343"/>
      <c r="C186" s="198" t="s">
        <v>341</v>
      </c>
      <c r="D186" s="137">
        <f>D182+(((D183^2)+(D184*D183)^2)^0.5)*2</f>
        <v>0</v>
      </c>
      <c r="E186" s="192" t="s">
        <v>271</v>
      </c>
      <c r="F186" s="344"/>
      <c r="G186" s="344"/>
      <c r="H186" s="344"/>
    </row>
    <row r="187" spans="1:8" x14ac:dyDescent="0.35">
      <c r="A187" s="342" t="s">
        <v>342</v>
      </c>
      <c r="B187" s="343"/>
      <c r="C187" s="198" t="s">
        <v>343</v>
      </c>
      <c r="D187" s="137">
        <f>(D183*(D182+D185))/2</f>
        <v>0</v>
      </c>
      <c r="E187" s="192" t="s">
        <v>316</v>
      </c>
      <c r="F187" s="344"/>
      <c r="G187" s="344"/>
      <c r="H187" s="344"/>
    </row>
    <row r="188" spans="1:8" x14ac:dyDescent="0.35">
      <c r="A188" s="342" t="s">
        <v>344</v>
      </c>
      <c r="B188" s="343"/>
      <c r="C188" s="198" t="s">
        <v>345</v>
      </c>
      <c r="D188" s="137" t="str">
        <f>IF(D181="","",D181/D187)</f>
        <v/>
      </c>
      <c r="E188" s="192" t="s">
        <v>346</v>
      </c>
      <c r="F188" s="344" t="str">
        <f>IF(D188&gt;1,"Does not meet design criteria","")</f>
        <v>Does not meet design criteria</v>
      </c>
      <c r="G188" s="344"/>
      <c r="H188" s="344"/>
    </row>
    <row r="189" spans="1:8" x14ac:dyDescent="0.35">
      <c r="A189" s="342" t="s">
        <v>347</v>
      </c>
      <c r="B189" s="343"/>
      <c r="C189" s="198"/>
      <c r="D189" s="50"/>
      <c r="E189" s="192" t="s">
        <v>261</v>
      </c>
      <c r="F189" s="344"/>
      <c r="G189" s="344"/>
      <c r="H189" s="344"/>
    </row>
    <row r="190" spans="1:8" x14ac:dyDescent="0.35">
      <c r="A190" s="343" t="s">
        <v>348</v>
      </c>
      <c r="B190" s="285"/>
      <c r="C190" s="198" t="s">
        <v>349</v>
      </c>
      <c r="D190" s="137" t="e">
        <f>IF((D189*60*D188)&lt;100,100,(D189*60*D188))</f>
        <v>#VALUE!</v>
      </c>
      <c r="E190" s="192" t="s">
        <v>271</v>
      </c>
      <c r="F190" s="344"/>
      <c r="G190" s="344"/>
      <c r="H190" s="344"/>
    </row>
    <row r="191" spans="1:8" x14ac:dyDescent="0.35">
      <c r="A191" s="343" t="s">
        <v>350</v>
      </c>
      <c r="B191" s="285"/>
      <c r="C191" s="198" t="s">
        <v>351</v>
      </c>
      <c r="D191" s="50"/>
      <c r="E191" s="192" t="s">
        <v>271</v>
      </c>
      <c r="F191" s="344" t="str">
        <f>IF(D191="","",IF(D191&lt;D190,"Does not meet design criteria",""))</f>
        <v/>
      </c>
      <c r="G191" s="344"/>
      <c r="H191" s="344"/>
    </row>
    <row r="192" spans="1:8" x14ac:dyDescent="0.35">
      <c r="A192" s="343" t="s">
        <v>352</v>
      </c>
      <c r="B192" s="285"/>
      <c r="C192" s="198" t="s">
        <v>353</v>
      </c>
      <c r="D192" s="50"/>
      <c r="E192" s="192" t="s">
        <v>266</v>
      </c>
      <c r="F192" s="344" t="str">
        <f>IF(D192&lt;0.005,"Does not meet design criteria",IF(D192&gt;0.04,"Does not meet design criteria",""))</f>
        <v>Does not meet design criteria</v>
      </c>
      <c r="G192" s="344"/>
      <c r="H192" s="344"/>
    </row>
    <row r="193" spans="1:8" x14ac:dyDescent="0.35">
      <c r="A193" s="342" t="s">
        <v>354</v>
      </c>
      <c r="B193" s="342"/>
      <c r="C193" s="198" t="s">
        <v>355</v>
      </c>
      <c r="D193" s="140"/>
      <c r="E193" s="192" t="s">
        <v>271</v>
      </c>
      <c r="F193" s="345"/>
      <c r="G193" s="345"/>
      <c r="H193" s="345"/>
    </row>
    <row r="194" spans="1:8" x14ac:dyDescent="0.35">
      <c r="A194" s="343" t="s">
        <v>356</v>
      </c>
      <c r="B194" s="363"/>
      <c r="C194" s="198" t="s">
        <v>357</v>
      </c>
      <c r="D194" s="62" t="str">
        <f>IF(D192="","",D193/D192)</f>
        <v/>
      </c>
      <c r="E194" s="192" t="s">
        <v>271</v>
      </c>
      <c r="F194" s="345"/>
      <c r="G194" s="345"/>
      <c r="H194" s="345"/>
    </row>
    <row r="195" spans="1:8" x14ac:dyDescent="0.35">
      <c r="A195" s="342" t="s">
        <v>358</v>
      </c>
      <c r="B195" s="342"/>
      <c r="C195" s="198" t="s">
        <v>217</v>
      </c>
      <c r="D195" s="62" t="str">
        <f>IF(D194="","",D191/D194)</f>
        <v/>
      </c>
      <c r="E195" s="192"/>
      <c r="F195" s="345"/>
      <c r="G195" s="345"/>
      <c r="H195" s="345"/>
    </row>
    <row r="196" spans="1:8" x14ac:dyDescent="0.35">
      <c r="A196" s="342" t="s">
        <v>359</v>
      </c>
      <c r="B196" s="342"/>
      <c r="C196" s="198" t="s">
        <v>360</v>
      </c>
      <c r="D196" s="140"/>
      <c r="E196" s="192" t="s">
        <v>271</v>
      </c>
      <c r="F196" s="344" t="s">
        <v>330</v>
      </c>
      <c r="G196" s="344"/>
      <c r="H196" s="344"/>
    </row>
    <row r="197" spans="1:8" x14ac:dyDescent="0.35">
      <c r="A197" s="342" t="s">
        <v>361</v>
      </c>
      <c r="B197" s="342"/>
      <c r="C197" s="198" t="s">
        <v>362</v>
      </c>
      <c r="D197" s="62">
        <f>D182+(2)*(D184)*(D196)</f>
        <v>0</v>
      </c>
      <c r="E197" s="192" t="s">
        <v>271</v>
      </c>
      <c r="F197" s="345"/>
      <c r="G197" s="345"/>
      <c r="H197" s="345"/>
    </row>
    <row r="198" spans="1:8" x14ac:dyDescent="0.35">
      <c r="A198" s="342" t="s">
        <v>363</v>
      </c>
      <c r="B198" s="342"/>
      <c r="C198" s="198" t="s">
        <v>364</v>
      </c>
      <c r="D198" s="62">
        <f>(D196*(D182+D197))/2</f>
        <v>0</v>
      </c>
      <c r="E198" s="192" t="s">
        <v>316</v>
      </c>
      <c r="F198" s="345"/>
      <c r="G198" s="345"/>
      <c r="H198" s="345"/>
    </row>
    <row r="199" spans="1:8" x14ac:dyDescent="0.35">
      <c r="A199" s="342" t="s">
        <v>365</v>
      </c>
      <c r="B199" s="342"/>
      <c r="C199" s="198" t="s">
        <v>366</v>
      </c>
      <c r="D199" s="62">
        <f>D182+(((D196^2)+(D184*D196)^2)^0.5)*2</f>
        <v>0</v>
      </c>
      <c r="E199" s="192" t="s">
        <v>271</v>
      </c>
      <c r="F199" s="345"/>
      <c r="G199" s="345"/>
      <c r="H199" s="345"/>
    </row>
    <row r="200" spans="1:8" x14ac:dyDescent="0.35">
      <c r="A200" s="342" t="s">
        <v>367</v>
      </c>
      <c r="B200" s="342"/>
      <c r="C200" s="198" t="s">
        <v>268</v>
      </c>
      <c r="D200" s="140"/>
      <c r="E200" s="192"/>
      <c r="F200" s="345" t="s">
        <v>368</v>
      </c>
      <c r="G200" s="345"/>
      <c r="H200" s="345"/>
    </row>
    <row r="201" spans="1:8" x14ac:dyDescent="0.35">
      <c r="A201" s="342" t="s">
        <v>369</v>
      </c>
      <c r="B201" s="342"/>
      <c r="C201" s="198" t="s">
        <v>370</v>
      </c>
      <c r="D201" s="62" t="str">
        <f>IF(D200="","",(1.49/D200)*((D198/D199)^(2/3))*(D192^0.5))</f>
        <v/>
      </c>
      <c r="E201" s="192" t="s">
        <v>346</v>
      </c>
      <c r="F201" s="345" t="str">
        <f>IF(D201="","",IF(D201&gt;5,"Does not meet design criteria",""))</f>
        <v/>
      </c>
      <c r="G201" s="345"/>
      <c r="H201" s="345"/>
    </row>
    <row r="202" spans="1:8" x14ac:dyDescent="0.35">
      <c r="A202" s="342" t="s">
        <v>371</v>
      </c>
      <c r="B202" s="342"/>
      <c r="C202" s="198"/>
      <c r="D202" s="140"/>
      <c r="E202" s="192" t="s">
        <v>271</v>
      </c>
      <c r="F202" s="345" t="str">
        <f>IF(D202="","Taken from hydrologic modeling",IF(D202&lt;0.5,"Does not meet design criteria","Taken from hydrologic modeling"))</f>
        <v>Taken from hydrologic modeling</v>
      </c>
      <c r="G202" s="345"/>
      <c r="H202" s="345"/>
    </row>
    <row r="203" spans="1:8" x14ac:dyDescent="0.35">
      <c r="A203" s="337" t="s">
        <v>372</v>
      </c>
      <c r="B203" s="337"/>
      <c r="C203" s="337"/>
      <c r="D203" s="337"/>
      <c r="E203" s="338"/>
      <c r="F203" s="338"/>
      <c r="G203" s="338"/>
      <c r="H203" s="338"/>
    </row>
    <row r="204" spans="1:8" x14ac:dyDescent="0.35">
      <c r="A204" s="240" t="s">
        <v>241</v>
      </c>
      <c r="B204" s="240"/>
      <c r="C204" s="240"/>
      <c r="D204" s="9" t="str">
        <f>IF(A174="","",IF(D178="Yes",0,IF(D177="Yes",0,IF(D181&gt;3,0,IF(D182&lt;2,0,IF(D182&gt;6,0,IF(D183&lt;0.33,0,IF(D184&lt;3,0,IF(D188&gt;1,0,IF(D192&lt;0.005,0,IF(D192&gt;0.04,0,IF(D191&lt;100,0,IF(D201&gt;5,0,IF(D202&lt;0.5,0,IF(D191&lt;D190,0,IF(D176="A",F174*0.2,IF(D176="B",F174*0.2,IF(D176="C",F174*0.1,IF(D176="D",F174*0.1,IF(D176="Modified C",F174*0.15,IF(D176="Modified D",F174*0.12)))))))))))))))))))))</f>
        <v/>
      </c>
      <c r="E204" s="339" t="s">
        <v>2</v>
      </c>
      <c r="F204" s="340"/>
      <c r="G204" s="340"/>
      <c r="H204" s="341"/>
    </row>
    <row r="205" spans="1:8" x14ac:dyDescent="0.35">
      <c r="A205" s="16" t="s">
        <v>56</v>
      </c>
      <c r="B205" s="225" t="str">
        <f>IF('STEP 2-WQv Calculation'!$B$4="","",'STEP 2-WQv Calculation'!$B$4)</f>
        <v/>
      </c>
      <c r="C205" s="4"/>
      <c r="D205" s="4"/>
      <c r="E205" s="4" t="s">
        <v>324</v>
      </c>
      <c r="F205" s="4"/>
      <c r="G205" s="4"/>
      <c r="H205" s="4"/>
    </row>
    <row r="206" spans="1:8" x14ac:dyDescent="0.35">
      <c r="A206" s="273" t="s">
        <v>293</v>
      </c>
      <c r="B206" s="273"/>
      <c r="C206" s="273"/>
      <c r="D206" s="273"/>
      <c r="E206" s="273"/>
      <c r="F206" s="273"/>
      <c r="G206" s="273"/>
      <c r="H206" s="273"/>
    </row>
    <row r="207" spans="1:8" ht="38.5" x14ac:dyDescent="0.35">
      <c r="A207" s="204" t="s">
        <v>60</v>
      </c>
      <c r="B207" s="205" t="s">
        <v>61</v>
      </c>
      <c r="C207" s="205" t="s">
        <v>62</v>
      </c>
      <c r="D207" s="205" t="s">
        <v>63</v>
      </c>
      <c r="E207" s="205" t="s">
        <v>64</v>
      </c>
      <c r="F207" s="205" t="s">
        <v>65</v>
      </c>
      <c r="G207" s="205" t="s">
        <v>244</v>
      </c>
      <c r="H207" s="206" t="s">
        <v>13</v>
      </c>
    </row>
    <row r="208" spans="1:8" x14ac:dyDescent="0.35">
      <c r="A208" s="218"/>
      <c r="B208" s="3" t="str">
        <f>IF($A208="","",(LOOKUP($A208,'STEP 2-WQv Calculation'!$A$8:$A$37,'STEP 2-WQv Calculation'!$B$8:$B$37)))</f>
        <v/>
      </c>
      <c r="C208" s="3" t="str">
        <f>IF($A208="","",(LOOKUP($A208,'STEP 2-WQv Calculation'!$A$8:$A$37,'STEP 2-WQv Calculation'!$C$8:$C$37)))</f>
        <v/>
      </c>
      <c r="D208" s="212" t="str">
        <f>IF($A208="","",(LOOKUP($A208,'STEP 2-WQv Calculation'!$A$8:$A$37,'STEP 2-WQv Calculation'!$D$8:$D$37)))</f>
        <v/>
      </c>
      <c r="E208" s="3" t="str">
        <f>IF($A208="","",(LOOKUP($A208,'STEP 2-WQv Calculation'!$A$8:$A$37,'STEP 2-WQv Calculation'!$E$8:$E$37)))</f>
        <v/>
      </c>
      <c r="F208" s="217" t="str">
        <f>IF($A208="","",(LOOKUP($A208,'STEP 2-WQv Calculation'!$A$8:$A$37,'STEP 2-WQv Calculation'!$F$8:$F$37)))</f>
        <v/>
      </c>
      <c r="G208" s="22">
        <f>'STEP 2-WQv Calculation'!B73</f>
        <v>0</v>
      </c>
      <c r="H208" s="198" t="str">
        <f>IF($A208="","",(LOOKUP($A208,'STEP 2-WQv Calculation'!$A$8:$A$37,'STEP 2-WQv Calculation'!$G$8:$G$37)))</f>
        <v/>
      </c>
    </row>
    <row r="209" spans="1:8" x14ac:dyDescent="0.35">
      <c r="A209" s="360" t="s">
        <v>226</v>
      </c>
      <c r="B209" s="361"/>
      <c r="C209" s="361"/>
      <c r="D209" s="361"/>
      <c r="E209" s="361"/>
      <c r="F209" s="361"/>
      <c r="G209" s="361"/>
      <c r="H209" s="362"/>
    </row>
    <row r="210" spans="1:8" x14ac:dyDescent="0.35">
      <c r="A210" s="354" t="s">
        <v>325</v>
      </c>
      <c r="B210" s="355"/>
      <c r="C210" s="356"/>
      <c r="D210" s="139"/>
      <c r="E210" s="357"/>
      <c r="F210" s="358"/>
      <c r="G210" s="358"/>
      <c r="H210" s="359"/>
    </row>
    <row r="211" spans="1:8" x14ac:dyDescent="0.35">
      <c r="A211" s="242" t="s">
        <v>326</v>
      </c>
      <c r="B211" s="243"/>
      <c r="C211" s="244"/>
      <c r="D211" s="135" t="str">
        <f>IF(B208="","",IF(B208&gt;5,"Yes","No"))</f>
        <v/>
      </c>
      <c r="E211" s="322" t="str">
        <f>IF(D211="Yes","Does not meet design criteria","")</f>
        <v/>
      </c>
      <c r="F211" s="323"/>
      <c r="G211" s="323"/>
      <c r="H211" s="324"/>
    </row>
    <row r="212" spans="1:8" x14ac:dyDescent="0.35">
      <c r="A212" s="245" t="s">
        <v>247</v>
      </c>
      <c r="B212" s="245"/>
      <c r="C212" s="245"/>
      <c r="D212" s="211"/>
      <c r="E212" s="322" t="str">
        <f>IF(D212="","This practice cannot be used for hotspot treatment",IF(D212="Yes","Does not meet design criteria",""))</f>
        <v>This practice cannot be used for hotspot treatment</v>
      </c>
      <c r="F212" s="323"/>
      <c r="G212" s="323"/>
      <c r="H212" s="324"/>
    </row>
    <row r="213" spans="1:8" x14ac:dyDescent="0.35">
      <c r="A213" s="273" t="s">
        <v>232</v>
      </c>
      <c r="B213" s="273"/>
      <c r="C213" s="273"/>
      <c r="D213" s="273"/>
      <c r="E213" s="273"/>
      <c r="F213" s="273"/>
      <c r="G213" s="273"/>
      <c r="H213" s="273"/>
    </row>
    <row r="214" spans="1:8" x14ac:dyDescent="0.35">
      <c r="A214" s="346"/>
      <c r="B214" s="347"/>
      <c r="C214" s="348"/>
      <c r="D214" s="47" t="s">
        <v>256</v>
      </c>
      <c r="E214" s="48" t="s">
        <v>257</v>
      </c>
      <c r="F214" s="349" t="s">
        <v>258</v>
      </c>
      <c r="G214" s="350"/>
      <c r="H214" s="351"/>
    </row>
    <row r="215" spans="1:8" x14ac:dyDescent="0.35">
      <c r="A215" s="352" t="s">
        <v>327</v>
      </c>
      <c r="B215" s="353"/>
      <c r="C215" s="198" t="s">
        <v>328</v>
      </c>
      <c r="D215" s="51"/>
      <c r="E215" s="136" t="s">
        <v>329</v>
      </c>
      <c r="F215" s="344" t="str">
        <f>IF(D215="","Taken from hydrologic modeling",IF(D215&gt;3,"Does not meet design criteria","Taken from hydrologic modeling"))</f>
        <v>Taken from hydrologic modeling</v>
      </c>
      <c r="G215" s="344"/>
      <c r="H215" s="344"/>
    </row>
    <row r="216" spans="1:8" x14ac:dyDescent="0.35">
      <c r="A216" s="342" t="s">
        <v>331</v>
      </c>
      <c r="B216" s="343"/>
      <c r="C216" s="198" t="s">
        <v>332</v>
      </c>
      <c r="D216" s="51"/>
      <c r="E216" s="192" t="s">
        <v>271</v>
      </c>
      <c r="F216" s="345" t="str">
        <f>IF(D216&lt;2,"Does not meet design criteria",IF(D216&gt;6,"Does not meet design criteria",""))</f>
        <v>Does not meet design criteria</v>
      </c>
      <c r="G216" s="345"/>
      <c r="H216" s="345"/>
    </row>
    <row r="217" spans="1:8" x14ac:dyDescent="0.35">
      <c r="A217" s="342" t="s">
        <v>333</v>
      </c>
      <c r="B217" s="343"/>
      <c r="C217" s="198" t="s">
        <v>334</v>
      </c>
      <c r="D217" s="51"/>
      <c r="E217" s="192" t="s">
        <v>271</v>
      </c>
      <c r="F217" s="344" t="str">
        <f>IF(D217="","Taken from hydrologic modeling", IF(D217&gt;0.3333,"Does not meet design criteria","Taken from hydrologic modeling"))</f>
        <v>Taken from hydrologic modeling</v>
      </c>
      <c r="G217" s="344"/>
      <c r="H217" s="344"/>
    </row>
    <row r="218" spans="1:8" x14ac:dyDescent="0.35">
      <c r="A218" s="342" t="s">
        <v>335</v>
      </c>
      <c r="B218" s="343"/>
      <c r="C218" s="198" t="s">
        <v>336</v>
      </c>
      <c r="D218" s="51"/>
      <c r="E218" s="192" t="s">
        <v>337</v>
      </c>
      <c r="F218" s="345" t="str">
        <f>IF(D218="","",IF(D218&lt;3,"Does not meet design criteria",""))</f>
        <v/>
      </c>
      <c r="G218" s="345"/>
      <c r="H218" s="345"/>
    </row>
    <row r="219" spans="1:8" x14ac:dyDescent="0.35">
      <c r="A219" s="342" t="s">
        <v>338</v>
      </c>
      <c r="B219" s="343"/>
      <c r="C219" s="198" t="s">
        <v>339</v>
      </c>
      <c r="D219" s="137">
        <f>D216+(2)*(D218)*(D217)</f>
        <v>0</v>
      </c>
      <c r="E219" s="192" t="s">
        <v>271</v>
      </c>
      <c r="F219" s="344"/>
      <c r="G219" s="344"/>
      <c r="H219" s="344"/>
    </row>
    <row r="220" spans="1:8" x14ac:dyDescent="0.35">
      <c r="A220" s="342" t="s">
        <v>340</v>
      </c>
      <c r="B220" s="343"/>
      <c r="C220" s="198" t="s">
        <v>341</v>
      </c>
      <c r="D220" s="137">
        <f>D216+(((D217^2)+(D218*D217)^2)^0.5)*2</f>
        <v>0</v>
      </c>
      <c r="E220" s="192" t="s">
        <v>271</v>
      </c>
      <c r="F220" s="344"/>
      <c r="G220" s="344"/>
      <c r="H220" s="344"/>
    </row>
    <row r="221" spans="1:8" x14ac:dyDescent="0.35">
      <c r="A221" s="342" t="s">
        <v>342</v>
      </c>
      <c r="B221" s="343"/>
      <c r="C221" s="198" t="s">
        <v>343</v>
      </c>
      <c r="D221" s="137">
        <f>(D217*(D216+D219))/2</f>
        <v>0</v>
      </c>
      <c r="E221" s="192" t="s">
        <v>316</v>
      </c>
      <c r="F221" s="344"/>
      <c r="G221" s="344"/>
      <c r="H221" s="344"/>
    </row>
    <row r="222" spans="1:8" x14ac:dyDescent="0.35">
      <c r="A222" s="342" t="s">
        <v>344</v>
      </c>
      <c r="B222" s="343"/>
      <c r="C222" s="198" t="s">
        <v>345</v>
      </c>
      <c r="D222" s="137" t="str">
        <f>IF(D215="","",D215/D221)</f>
        <v/>
      </c>
      <c r="E222" s="192" t="s">
        <v>346</v>
      </c>
      <c r="F222" s="344" t="str">
        <f>IF(D222&gt;1,"Does not meet design criteria","")</f>
        <v>Does not meet design criteria</v>
      </c>
      <c r="G222" s="344"/>
      <c r="H222" s="344"/>
    </row>
    <row r="223" spans="1:8" x14ac:dyDescent="0.35">
      <c r="A223" s="342" t="s">
        <v>347</v>
      </c>
      <c r="B223" s="343"/>
      <c r="C223" s="198"/>
      <c r="D223" s="50"/>
      <c r="E223" s="192" t="s">
        <v>261</v>
      </c>
      <c r="F223" s="344"/>
      <c r="G223" s="344"/>
      <c r="H223" s="344"/>
    </row>
    <row r="224" spans="1:8" x14ac:dyDescent="0.35">
      <c r="A224" s="343" t="s">
        <v>348</v>
      </c>
      <c r="B224" s="285"/>
      <c r="C224" s="198" t="s">
        <v>349</v>
      </c>
      <c r="D224" s="137" t="e">
        <f>IF((D223*60*D222)&lt;100,100,(D223*60*D222))</f>
        <v>#VALUE!</v>
      </c>
      <c r="E224" s="192" t="s">
        <v>271</v>
      </c>
      <c r="F224" s="344"/>
      <c r="G224" s="344"/>
      <c r="H224" s="344"/>
    </row>
    <row r="225" spans="1:8" x14ac:dyDescent="0.35">
      <c r="A225" s="343" t="s">
        <v>350</v>
      </c>
      <c r="B225" s="285"/>
      <c r="C225" s="198" t="s">
        <v>351</v>
      </c>
      <c r="D225" s="50"/>
      <c r="E225" s="192" t="s">
        <v>271</v>
      </c>
      <c r="F225" s="344" t="str">
        <f>IF(D225="","",IF(D225&lt;D224,"Does not meet design criteria",""))</f>
        <v/>
      </c>
      <c r="G225" s="344"/>
      <c r="H225" s="344"/>
    </row>
    <row r="226" spans="1:8" x14ac:dyDescent="0.35">
      <c r="A226" s="343" t="s">
        <v>352</v>
      </c>
      <c r="B226" s="285"/>
      <c r="C226" s="198" t="s">
        <v>353</v>
      </c>
      <c r="D226" s="50"/>
      <c r="E226" s="192" t="s">
        <v>266</v>
      </c>
      <c r="F226" s="344" t="str">
        <f>IF(D226&lt;0.005,"Does not meet design criteria",IF(D226&gt;0.04,"Does not meet design criteria",""))</f>
        <v>Does not meet design criteria</v>
      </c>
      <c r="G226" s="344"/>
      <c r="H226" s="344"/>
    </row>
    <row r="227" spans="1:8" x14ac:dyDescent="0.35">
      <c r="A227" s="342" t="s">
        <v>354</v>
      </c>
      <c r="B227" s="342"/>
      <c r="C227" s="198" t="s">
        <v>355</v>
      </c>
      <c r="D227" s="140"/>
      <c r="E227" s="192" t="s">
        <v>271</v>
      </c>
      <c r="F227" s="345"/>
      <c r="G227" s="345"/>
      <c r="H227" s="345"/>
    </row>
    <row r="228" spans="1:8" x14ac:dyDescent="0.35">
      <c r="A228" s="343" t="s">
        <v>356</v>
      </c>
      <c r="B228" s="363"/>
      <c r="C228" s="198" t="s">
        <v>357</v>
      </c>
      <c r="D228" s="62" t="str">
        <f>IF(D226="","",D227/D226)</f>
        <v/>
      </c>
      <c r="E228" s="192" t="s">
        <v>271</v>
      </c>
      <c r="F228" s="345"/>
      <c r="G228" s="345"/>
      <c r="H228" s="345"/>
    </row>
    <row r="229" spans="1:8" x14ac:dyDescent="0.35">
      <c r="A229" s="342" t="s">
        <v>358</v>
      </c>
      <c r="B229" s="342"/>
      <c r="C229" s="198" t="s">
        <v>217</v>
      </c>
      <c r="D229" s="62" t="str">
        <f>IF(D228="","",D225/D228)</f>
        <v/>
      </c>
      <c r="E229" s="192"/>
      <c r="F229" s="345"/>
      <c r="G229" s="345"/>
      <c r="H229" s="345"/>
    </row>
    <row r="230" spans="1:8" x14ac:dyDescent="0.35">
      <c r="A230" s="342" t="s">
        <v>359</v>
      </c>
      <c r="B230" s="342"/>
      <c r="C230" s="198" t="s">
        <v>360</v>
      </c>
      <c r="D230" s="140"/>
      <c r="E230" s="192" t="s">
        <v>271</v>
      </c>
      <c r="F230" s="344" t="s">
        <v>330</v>
      </c>
      <c r="G230" s="344"/>
      <c r="H230" s="344"/>
    </row>
    <row r="231" spans="1:8" x14ac:dyDescent="0.35">
      <c r="A231" s="342" t="s">
        <v>361</v>
      </c>
      <c r="B231" s="342"/>
      <c r="C231" s="198" t="s">
        <v>362</v>
      </c>
      <c r="D231" s="62">
        <f>D216+(2)*(D218)*(D230)</f>
        <v>0</v>
      </c>
      <c r="E231" s="192" t="s">
        <v>271</v>
      </c>
      <c r="F231" s="345"/>
      <c r="G231" s="345"/>
      <c r="H231" s="345"/>
    </row>
    <row r="232" spans="1:8" x14ac:dyDescent="0.35">
      <c r="A232" s="342" t="s">
        <v>363</v>
      </c>
      <c r="B232" s="342"/>
      <c r="C232" s="198" t="s">
        <v>364</v>
      </c>
      <c r="D232" s="62">
        <f>(D230*(D216+D231))/2</f>
        <v>0</v>
      </c>
      <c r="E232" s="192" t="s">
        <v>316</v>
      </c>
      <c r="F232" s="345"/>
      <c r="G232" s="345"/>
      <c r="H232" s="345"/>
    </row>
    <row r="233" spans="1:8" x14ac:dyDescent="0.35">
      <c r="A233" s="342" t="s">
        <v>365</v>
      </c>
      <c r="B233" s="342"/>
      <c r="C233" s="198" t="s">
        <v>366</v>
      </c>
      <c r="D233" s="62">
        <f>D216+(((D230^2)+(D218*D230)^2)^0.5)*2</f>
        <v>0</v>
      </c>
      <c r="E233" s="192" t="s">
        <v>271</v>
      </c>
      <c r="F233" s="345"/>
      <c r="G233" s="345"/>
      <c r="H233" s="345"/>
    </row>
    <row r="234" spans="1:8" x14ac:dyDescent="0.35">
      <c r="A234" s="342" t="s">
        <v>367</v>
      </c>
      <c r="B234" s="342"/>
      <c r="C234" s="198" t="s">
        <v>268</v>
      </c>
      <c r="D234" s="140"/>
      <c r="E234" s="192"/>
      <c r="F234" s="345" t="s">
        <v>368</v>
      </c>
      <c r="G234" s="345"/>
      <c r="H234" s="345"/>
    </row>
    <row r="235" spans="1:8" x14ac:dyDescent="0.35">
      <c r="A235" s="342" t="s">
        <v>369</v>
      </c>
      <c r="B235" s="342"/>
      <c r="C235" s="198" t="s">
        <v>370</v>
      </c>
      <c r="D235" s="62" t="str">
        <f>IF(D234="","",(1.49/D234)*((D232/D233)^(2/3))*(D226^0.5))</f>
        <v/>
      </c>
      <c r="E235" s="192" t="s">
        <v>346</v>
      </c>
      <c r="F235" s="345" t="str">
        <f>IF(D235="","",IF(D235&gt;5,"Does not meet design criteria",""))</f>
        <v/>
      </c>
      <c r="G235" s="345"/>
      <c r="H235" s="345"/>
    </row>
    <row r="236" spans="1:8" x14ac:dyDescent="0.35">
      <c r="A236" s="342" t="s">
        <v>371</v>
      </c>
      <c r="B236" s="342"/>
      <c r="C236" s="198"/>
      <c r="D236" s="140"/>
      <c r="E236" s="192" t="s">
        <v>271</v>
      </c>
      <c r="F236" s="345" t="str">
        <f>IF(D236="","Taken from hydrologic modeling",IF(D236&lt;0.5,"Does not meet design criteria","Taken from hydrologic modeling"))</f>
        <v>Taken from hydrologic modeling</v>
      </c>
      <c r="G236" s="345"/>
      <c r="H236" s="345"/>
    </row>
    <row r="237" spans="1:8" x14ac:dyDescent="0.35">
      <c r="A237" s="337" t="s">
        <v>372</v>
      </c>
      <c r="B237" s="337"/>
      <c r="C237" s="337"/>
      <c r="D237" s="337"/>
      <c r="E237" s="338"/>
      <c r="F237" s="338"/>
      <c r="G237" s="338"/>
      <c r="H237" s="338"/>
    </row>
    <row r="238" spans="1:8" x14ac:dyDescent="0.35">
      <c r="A238" s="240" t="s">
        <v>241</v>
      </c>
      <c r="B238" s="240"/>
      <c r="C238" s="240"/>
      <c r="D238" s="9" t="str">
        <f>IF(A208="","",IF(D212="Yes",0,IF(D211="Yes",0,IF(D215&gt;3,0,IF(D216&lt;2,0,IF(D216&gt;6,0,IF(D217&lt;0.33,0,IF(D218&lt;3,0,IF(D222&gt;1,0,IF(D226&lt;0.005,0,IF(D226&gt;0.04,0,IF(D225&lt;100,0,IF(D235&gt;5,0,IF(D236&lt;0.5,0,IF(D225&lt;D224,0,IF(D210="A",F208*0.2,IF(D210="B",F208*0.2,IF(D210="C",F208*0.1,IF(D210="D",F208*0.1,IF(D210="Modified C",F208*0.15,IF(D210="Modified D",F208*0.12)))))))))))))))))))))</f>
        <v/>
      </c>
      <c r="E238" s="339" t="s">
        <v>2</v>
      </c>
      <c r="F238" s="340"/>
      <c r="G238" s="340"/>
      <c r="H238" s="341"/>
    </row>
    <row r="239" spans="1:8" x14ac:dyDescent="0.35">
      <c r="A239" s="16" t="s">
        <v>56</v>
      </c>
      <c r="B239" s="225" t="str">
        <f>IF('STEP 2-WQv Calculation'!$B$4="","",'STEP 2-WQv Calculation'!$B$4)</f>
        <v/>
      </c>
      <c r="C239" s="4"/>
      <c r="D239" s="4"/>
      <c r="E239" s="4" t="s">
        <v>324</v>
      </c>
      <c r="F239" s="4"/>
      <c r="G239" s="4"/>
      <c r="H239" s="4"/>
    </row>
    <row r="240" spans="1:8" x14ac:dyDescent="0.35">
      <c r="A240" s="273" t="s">
        <v>293</v>
      </c>
      <c r="B240" s="273"/>
      <c r="C240" s="273"/>
      <c r="D240" s="273"/>
      <c r="E240" s="273"/>
      <c r="F240" s="273"/>
      <c r="G240" s="273"/>
      <c r="H240" s="273"/>
    </row>
    <row r="241" spans="1:8" ht="38.5" x14ac:dyDescent="0.35">
      <c r="A241" s="204" t="s">
        <v>60</v>
      </c>
      <c r="B241" s="205" t="s">
        <v>61</v>
      </c>
      <c r="C241" s="205" t="s">
        <v>62</v>
      </c>
      <c r="D241" s="205" t="s">
        <v>63</v>
      </c>
      <c r="E241" s="205" t="s">
        <v>64</v>
      </c>
      <c r="F241" s="205" t="s">
        <v>65</v>
      </c>
      <c r="G241" s="205" t="s">
        <v>244</v>
      </c>
      <c r="H241" s="206" t="s">
        <v>13</v>
      </c>
    </row>
    <row r="242" spans="1:8" x14ac:dyDescent="0.35">
      <c r="A242" s="218"/>
      <c r="B242" s="3" t="str">
        <f>IF($A242="","",(LOOKUP($A242,'STEP 2-WQv Calculation'!$A$8:$A$37,'STEP 2-WQv Calculation'!$B$8:$B$37)))</f>
        <v/>
      </c>
      <c r="C242" s="3" t="str">
        <f>IF($A242="","",(LOOKUP($A242,'STEP 2-WQv Calculation'!$A$8:$A$37,'STEP 2-WQv Calculation'!$C$8:$C$37)))</f>
        <v/>
      </c>
      <c r="D242" s="212" t="str">
        <f>IF($A242="","",(LOOKUP($A242,'STEP 2-WQv Calculation'!$A$8:$A$37,'STEP 2-WQv Calculation'!$D$8:$D$37)))</f>
        <v/>
      </c>
      <c r="E242" s="3" t="str">
        <f>IF($A242="","",(LOOKUP($A242,'STEP 2-WQv Calculation'!$A$8:$A$37,'STEP 2-WQv Calculation'!$E$8:$E$37)))</f>
        <v/>
      </c>
      <c r="F242" s="217" t="str">
        <f>IF($A242="","",(LOOKUP($A242,'STEP 2-WQv Calculation'!$A$8:$A$37,'STEP 2-WQv Calculation'!$F$8:$F$37)))</f>
        <v/>
      </c>
      <c r="G242" s="22">
        <f>'STEP 2-WQv Calculation'!B107</f>
        <v>0</v>
      </c>
      <c r="H242" s="198" t="str">
        <f>IF($A242="","",(LOOKUP($A242,'STEP 2-WQv Calculation'!$A$8:$A$37,'STEP 2-WQv Calculation'!$G$8:$G$37)))</f>
        <v/>
      </c>
    </row>
    <row r="243" spans="1:8" x14ac:dyDescent="0.35">
      <c r="A243" s="360" t="s">
        <v>226</v>
      </c>
      <c r="B243" s="361"/>
      <c r="C243" s="361"/>
      <c r="D243" s="361"/>
      <c r="E243" s="361"/>
      <c r="F243" s="361"/>
      <c r="G243" s="361"/>
      <c r="H243" s="362"/>
    </row>
    <row r="244" spans="1:8" x14ac:dyDescent="0.35">
      <c r="A244" s="354" t="s">
        <v>325</v>
      </c>
      <c r="B244" s="355"/>
      <c r="C244" s="356"/>
      <c r="D244" s="139"/>
      <c r="E244" s="357"/>
      <c r="F244" s="358"/>
      <c r="G244" s="358"/>
      <c r="H244" s="359"/>
    </row>
    <row r="245" spans="1:8" x14ac:dyDescent="0.35">
      <c r="A245" s="242" t="s">
        <v>326</v>
      </c>
      <c r="B245" s="243"/>
      <c r="C245" s="244"/>
      <c r="D245" s="135" t="str">
        <f>IF(B242="","",IF(B242&gt;5,"Yes","No"))</f>
        <v/>
      </c>
      <c r="E245" s="322" t="str">
        <f>IF(D245="Yes","Does not meet design criteria","")</f>
        <v/>
      </c>
      <c r="F245" s="323"/>
      <c r="G245" s="323"/>
      <c r="H245" s="324"/>
    </row>
    <row r="246" spans="1:8" x14ac:dyDescent="0.35">
      <c r="A246" s="245" t="s">
        <v>247</v>
      </c>
      <c r="B246" s="245"/>
      <c r="C246" s="245"/>
      <c r="D246" s="211"/>
      <c r="E246" s="322" t="str">
        <f>IF(D246="","This practice cannot be used for hotspot treatment",IF(D246="Yes","Does not meet design criteria",""))</f>
        <v>This practice cannot be used for hotspot treatment</v>
      </c>
      <c r="F246" s="323"/>
      <c r="G246" s="323"/>
      <c r="H246" s="324"/>
    </row>
    <row r="247" spans="1:8" x14ac:dyDescent="0.35">
      <c r="A247" s="273" t="s">
        <v>232</v>
      </c>
      <c r="B247" s="273"/>
      <c r="C247" s="273"/>
      <c r="D247" s="273"/>
      <c r="E247" s="273"/>
      <c r="F247" s="273"/>
      <c r="G247" s="273"/>
      <c r="H247" s="273"/>
    </row>
    <row r="248" spans="1:8" x14ac:dyDescent="0.35">
      <c r="A248" s="346"/>
      <c r="B248" s="347"/>
      <c r="C248" s="348"/>
      <c r="D248" s="47" t="s">
        <v>256</v>
      </c>
      <c r="E248" s="48" t="s">
        <v>257</v>
      </c>
      <c r="F248" s="349" t="s">
        <v>258</v>
      </c>
      <c r="G248" s="350"/>
      <c r="H248" s="351"/>
    </row>
    <row r="249" spans="1:8" x14ac:dyDescent="0.35">
      <c r="A249" s="352" t="s">
        <v>327</v>
      </c>
      <c r="B249" s="353"/>
      <c r="C249" s="198" t="s">
        <v>328</v>
      </c>
      <c r="D249" s="51"/>
      <c r="E249" s="136" t="s">
        <v>329</v>
      </c>
      <c r="F249" s="344" t="str">
        <f>IF(D249="","Taken from hydrologic modeling",IF(D249&gt;3,"Does not meet design criteria","Taken from hydrologic modeling"))</f>
        <v>Taken from hydrologic modeling</v>
      </c>
      <c r="G249" s="344"/>
      <c r="H249" s="344"/>
    </row>
    <row r="250" spans="1:8" x14ac:dyDescent="0.35">
      <c r="A250" s="342" t="s">
        <v>331</v>
      </c>
      <c r="B250" s="343"/>
      <c r="C250" s="198" t="s">
        <v>332</v>
      </c>
      <c r="D250" s="51"/>
      <c r="E250" s="192" t="s">
        <v>271</v>
      </c>
      <c r="F250" s="345" t="str">
        <f>IF(D250&lt;2,"Does not meet design criteria",IF(D250&gt;6,"Does not meet design criteria",""))</f>
        <v>Does not meet design criteria</v>
      </c>
      <c r="G250" s="345"/>
      <c r="H250" s="345"/>
    </row>
    <row r="251" spans="1:8" x14ac:dyDescent="0.35">
      <c r="A251" s="342" t="s">
        <v>333</v>
      </c>
      <c r="B251" s="343"/>
      <c r="C251" s="198" t="s">
        <v>334</v>
      </c>
      <c r="D251" s="51"/>
      <c r="E251" s="192" t="s">
        <v>271</v>
      </c>
      <c r="F251" s="344" t="str">
        <f>IF(D251="","Taken from hydrologic modeling", IF(D251&gt;0.3333,"Does not meet design criteria","Taken from hydrologic modeling"))</f>
        <v>Taken from hydrologic modeling</v>
      </c>
      <c r="G251" s="344"/>
      <c r="H251" s="344"/>
    </row>
    <row r="252" spans="1:8" x14ac:dyDescent="0.35">
      <c r="A252" s="342" t="s">
        <v>335</v>
      </c>
      <c r="B252" s="343"/>
      <c r="C252" s="198" t="s">
        <v>336</v>
      </c>
      <c r="D252" s="51"/>
      <c r="E252" s="192" t="s">
        <v>337</v>
      </c>
      <c r="F252" s="345" t="str">
        <f>IF(D252="","",IF(D252&lt;3,"Does not meet design criteria",""))</f>
        <v/>
      </c>
      <c r="G252" s="345"/>
      <c r="H252" s="345"/>
    </row>
    <row r="253" spans="1:8" x14ac:dyDescent="0.35">
      <c r="A253" s="342" t="s">
        <v>338</v>
      </c>
      <c r="B253" s="343"/>
      <c r="C253" s="198" t="s">
        <v>339</v>
      </c>
      <c r="D253" s="137">
        <f>D250+(2)*(D252)*(D251)</f>
        <v>0</v>
      </c>
      <c r="E253" s="192" t="s">
        <v>271</v>
      </c>
      <c r="F253" s="344"/>
      <c r="G253" s="344"/>
      <c r="H253" s="344"/>
    </row>
    <row r="254" spans="1:8" x14ac:dyDescent="0.35">
      <c r="A254" s="342" t="s">
        <v>340</v>
      </c>
      <c r="B254" s="343"/>
      <c r="C254" s="198" t="s">
        <v>341</v>
      </c>
      <c r="D254" s="137">
        <f>D250+(((D251^2)+(D252*D251)^2)^0.5)*2</f>
        <v>0</v>
      </c>
      <c r="E254" s="192" t="s">
        <v>271</v>
      </c>
      <c r="F254" s="344"/>
      <c r="G254" s="344"/>
      <c r="H254" s="344"/>
    </row>
    <row r="255" spans="1:8" x14ac:dyDescent="0.35">
      <c r="A255" s="342" t="s">
        <v>342</v>
      </c>
      <c r="B255" s="343"/>
      <c r="C255" s="198" t="s">
        <v>343</v>
      </c>
      <c r="D255" s="137">
        <f>(D251*(D250+D253))/2</f>
        <v>0</v>
      </c>
      <c r="E255" s="192" t="s">
        <v>316</v>
      </c>
      <c r="F255" s="344"/>
      <c r="G255" s="344"/>
      <c r="H255" s="344"/>
    </row>
    <row r="256" spans="1:8" x14ac:dyDescent="0.35">
      <c r="A256" s="342" t="s">
        <v>344</v>
      </c>
      <c r="B256" s="343"/>
      <c r="C256" s="198" t="s">
        <v>345</v>
      </c>
      <c r="D256" s="137" t="str">
        <f>IF(D249="","",D249/D255)</f>
        <v/>
      </c>
      <c r="E256" s="192" t="s">
        <v>346</v>
      </c>
      <c r="F256" s="344" t="str">
        <f>IF(D256&gt;1,"Does not meet design criteria","")</f>
        <v>Does not meet design criteria</v>
      </c>
      <c r="G256" s="344"/>
      <c r="H256" s="344"/>
    </row>
    <row r="257" spans="1:8" x14ac:dyDescent="0.35">
      <c r="A257" s="342" t="s">
        <v>347</v>
      </c>
      <c r="B257" s="343"/>
      <c r="C257" s="198"/>
      <c r="D257" s="50"/>
      <c r="E257" s="192" t="s">
        <v>261</v>
      </c>
      <c r="F257" s="344"/>
      <c r="G257" s="344"/>
      <c r="H257" s="344"/>
    </row>
    <row r="258" spans="1:8" x14ac:dyDescent="0.35">
      <c r="A258" s="343" t="s">
        <v>348</v>
      </c>
      <c r="B258" s="285"/>
      <c r="C258" s="198" t="s">
        <v>349</v>
      </c>
      <c r="D258" s="137" t="e">
        <f>IF((D257*60*D256)&lt;100,100,(D257*60*D256))</f>
        <v>#VALUE!</v>
      </c>
      <c r="E258" s="192" t="s">
        <v>271</v>
      </c>
      <c r="F258" s="344"/>
      <c r="G258" s="344"/>
      <c r="H258" s="344"/>
    </row>
    <row r="259" spans="1:8" x14ac:dyDescent="0.35">
      <c r="A259" s="343" t="s">
        <v>350</v>
      </c>
      <c r="B259" s="285"/>
      <c r="C259" s="198" t="s">
        <v>351</v>
      </c>
      <c r="D259" s="50"/>
      <c r="E259" s="192" t="s">
        <v>271</v>
      </c>
      <c r="F259" s="344" t="str">
        <f>IF(D259="","",IF(D259&lt;D258,"Does not meet design criteria",""))</f>
        <v/>
      </c>
      <c r="G259" s="344"/>
      <c r="H259" s="344"/>
    </row>
    <row r="260" spans="1:8" x14ac:dyDescent="0.35">
      <c r="A260" s="343" t="s">
        <v>352</v>
      </c>
      <c r="B260" s="285"/>
      <c r="C260" s="198" t="s">
        <v>353</v>
      </c>
      <c r="D260" s="50"/>
      <c r="E260" s="192" t="s">
        <v>266</v>
      </c>
      <c r="F260" s="344" t="str">
        <f>IF(D260&lt;0.005,"Does not meet design criteria",IF(D260&gt;0.04,"Does not meet design criteria",""))</f>
        <v>Does not meet design criteria</v>
      </c>
      <c r="G260" s="344"/>
      <c r="H260" s="344"/>
    </row>
    <row r="261" spans="1:8" x14ac:dyDescent="0.35">
      <c r="A261" s="342" t="s">
        <v>354</v>
      </c>
      <c r="B261" s="342"/>
      <c r="C261" s="198" t="s">
        <v>355</v>
      </c>
      <c r="D261" s="140"/>
      <c r="E261" s="192" t="s">
        <v>271</v>
      </c>
      <c r="F261" s="345"/>
      <c r="G261" s="345"/>
      <c r="H261" s="345"/>
    </row>
    <row r="262" spans="1:8" x14ac:dyDescent="0.35">
      <c r="A262" s="343" t="s">
        <v>356</v>
      </c>
      <c r="B262" s="363"/>
      <c r="C262" s="198" t="s">
        <v>357</v>
      </c>
      <c r="D262" s="62" t="str">
        <f>IF(D260="","",D261/D260)</f>
        <v/>
      </c>
      <c r="E262" s="192" t="s">
        <v>271</v>
      </c>
      <c r="F262" s="345"/>
      <c r="G262" s="345"/>
      <c r="H262" s="345"/>
    </row>
    <row r="263" spans="1:8" x14ac:dyDescent="0.35">
      <c r="A263" s="342" t="s">
        <v>358</v>
      </c>
      <c r="B263" s="342"/>
      <c r="C263" s="198" t="s">
        <v>217</v>
      </c>
      <c r="D263" s="62" t="str">
        <f>IF(D262="","",D259/D262)</f>
        <v/>
      </c>
      <c r="E263" s="192"/>
      <c r="F263" s="345"/>
      <c r="G263" s="345"/>
      <c r="H263" s="345"/>
    </row>
    <row r="264" spans="1:8" x14ac:dyDescent="0.35">
      <c r="A264" s="342" t="s">
        <v>359</v>
      </c>
      <c r="B264" s="342"/>
      <c r="C264" s="198" t="s">
        <v>360</v>
      </c>
      <c r="D264" s="140"/>
      <c r="E264" s="192" t="s">
        <v>271</v>
      </c>
      <c r="F264" s="344" t="s">
        <v>330</v>
      </c>
      <c r="G264" s="344"/>
      <c r="H264" s="344"/>
    </row>
    <row r="265" spans="1:8" x14ac:dyDescent="0.35">
      <c r="A265" s="342" t="s">
        <v>361</v>
      </c>
      <c r="B265" s="342"/>
      <c r="C265" s="198" t="s">
        <v>362</v>
      </c>
      <c r="D265" s="62">
        <f>D250+(2)*(D252)*(D264)</f>
        <v>0</v>
      </c>
      <c r="E265" s="192" t="s">
        <v>271</v>
      </c>
      <c r="F265" s="345"/>
      <c r="G265" s="345"/>
      <c r="H265" s="345"/>
    </row>
    <row r="266" spans="1:8" x14ac:dyDescent="0.35">
      <c r="A266" s="342" t="s">
        <v>363</v>
      </c>
      <c r="B266" s="342"/>
      <c r="C266" s="198" t="s">
        <v>364</v>
      </c>
      <c r="D266" s="62">
        <f>(D264*(D250+D265))/2</f>
        <v>0</v>
      </c>
      <c r="E266" s="192" t="s">
        <v>316</v>
      </c>
      <c r="F266" s="345"/>
      <c r="G266" s="345"/>
      <c r="H266" s="345"/>
    </row>
    <row r="267" spans="1:8" x14ac:dyDescent="0.35">
      <c r="A267" s="342" t="s">
        <v>365</v>
      </c>
      <c r="B267" s="342"/>
      <c r="C267" s="198" t="s">
        <v>366</v>
      </c>
      <c r="D267" s="62">
        <f>D250+(((D264^2)+(D252*D264)^2)^0.5)*2</f>
        <v>0</v>
      </c>
      <c r="E267" s="192" t="s">
        <v>271</v>
      </c>
      <c r="F267" s="345"/>
      <c r="G267" s="345"/>
      <c r="H267" s="345"/>
    </row>
    <row r="268" spans="1:8" x14ac:dyDescent="0.35">
      <c r="A268" s="342" t="s">
        <v>367</v>
      </c>
      <c r="B268" s="342"/>
      <c r="C268" s="198" t="s">
        <v>268</v>
      </c>
      <c r="D268" s="140"/>
      <c r="E268" s="192"/>
      <c r="F268" s="345" t="s">
        <v>368</v>
      </c>
      <c r="G268" s="345"/>
      <c r="H268" s="345"/>
    </row>
    <row r="269" spans="1:8" x14ac:dyDescent="0.35">
      <c r="A269" s="342" t="s">
        <v>369</v>
      </c>
      <c r="B269" s="342"/>
      <c r="C269" s="198" t="s">
        <v>370</v>
      </c>
      <c r="D269" s="62" t="str">
        <f>IF(D268="","",(1.49/D268)*((D266/D267)^(2/3))*(D260^0.5))</f>
        <v/>
      </c>
      <c r="E269" s="192" t="s">
        <v>346</v>
      </c>
      <c r="F269" s="345" t="str">
        <f>IF(D269="","",IF(D269&gt;5,"Does not meet design criteria",""))</f>
        <v/>
      </c>
      <c r="G269" s="345"/>
      <c r="H269" s="345"/>
    </row>
    <row r="270" spans="1:8" x14ac:dyDescent="0.35">
      <c r="A270" s="342" t="s">
        <v>371</v>
      </c>
      <c r="B270" s="342"/>
      <c r="C270" s="198"/>
      <c r="D270" s="140"/>
      <c r="E270" s="192" t="s">
        <v>271</v>
      </c>
      <c r="F270" s="345" t="str">
        <f>IF(D270="","Taken from hydrologic modeling",IF(D270&lt;0.5,"Does not meet design criteria","Taken from hydrologic modeling"))</f>
        <v>Taken from hydrologic modeling</v>
      </c>
      <c r="G270" s="345"/>
      <c r="H270" s="345"/>
    </row>
    <row r="271" spans="1:8" x14ac:dyDescent="0.35">
      <c r="A271" s="337" t="s">
        <v>372</v>
      </c>
      <c r="B271" s="337"/>
      <c r="C271" s="337"/>
      <c r="D271" s="337"/>
      <c r="E271" s="338"/>
      <c r="F271" s="338"/>
      <c r="G271" s="338"/>
      <c r="H271" s="338"/>
    </row>
    <row r="272" spans="1:8" x14ac:dyDescent="0.35">
      <c r="A272" s="240" t="s">
        <v>241</v>
      </c>
      <c r="B272" s="240"/>
      <c r="C272" s="240"/>
      <c r="D272" s="9" t="str">
        <f>IF(A242="","",IF(D246="Yes",0,IF(D245="Yes",0,IF(D249&gt;3,0,IF(D250&lt;2,0,IF(D250&gt;6,0,IF(D251&lt;0.33,0,IF(D252&lt;3,0,IF(D256&gt;1,0,IF(D260&lt;0.005,0,IF(D260&gt;0.04,0,IF(D259&lt;100,0,IF(D269&gt;5,0,IF(D270&lt;0.5,0,IF(D259&lt;D258,0,IF(D244="A",F242*0.2,IF(D244="B",F242*0.2,IF(D244="C",F242*0.1,IF(D244="D",F242*0.1,IF(D244="Modified C",F242*0.15,IF(D244="Modified D",F242*0.12)))))))))))))))))))))</f>
        <v/>
      </c>
      <c r="E272" s="339" t="s">
        <v>2</v>
      </c>
      <c r="F272" s="340"/>
      <c r="G272" s="340"/>
      <c r="H272" s="341"/>
    </row>
    <row r="273" spans="1:8" x14ac:dyDescent="0.35">
      <c r="A273" s="16" t="s">
        <v>56</v>
      </c>
      <c r="B273" s="225" t="str">
        <f>IF('STEP 2-WQv Calculation'!$B$4="","",'STEP 2-WQv Calculation'!$B$4)</f>
        <v/>
      </c>
      <c r="C273" s="4"/>
      <c r="D273" s="4"/>
      <c r="E273" s="4" t="s">
        <v>324</v>
      </c>
      <c r="F273" s="4"/>
      <c r="G273" s="4"/>
      <c r="H273" s="4"/>
    </row>
    <row r="274" spans="1:8" x14ac:dyDescent="0.35">
      <c r="A274" s="273" t="s">
        <v>293</v>
      </c>
      <c r="B274" s="273"/>
      <c r="C274" s="273"/>
      <c r="D274" s="273"/>
      <c r="E274" s="273"/>
      <c r="F274" s="273"/>
      <c r="G274" s="273"/>
      <c r="H274" s="273"/>
    </row>
    <row r="275" spans="1:8" ht="38.5" x14ac:dyDescent="0.35">
      <c r="A275" s="204" t="s">
        <v>60</v>
      </c>
      <c r="B275" s="205" t="s">
        <v>61</v>
      </c>
      <c r="C275" s="205" t="s">
        <v>62</v>
      </c>
      <c r="D275" s="205" t="s">
        <v>63</v>
      </c>
      <c r="E275" s="205" t="s">
        <v>64</v>
      </c>
      <c r="F275" s="205" t="s">
        <v>65</v>
      </c>
      <c r="G275" s="205" t="s">
        <v>244</v>
      </c>
      <c r="H275" s="206" t="s">
        <v>13</v>
      </c>
    </row>
    <row r="276" spans="1:8" x14ac:dyDescent="0.35">
      <c r="A276" s="218"/>
      <c r="B276" s="3" t="str">
        <f>IF($A276="","",(LOOKUP($A276,'STEP 2-WQv Calculation'!$A$8:$A$37,'STEP 2-WQv Calculation'!$B$8:$B$37)))</f>
        <v/>
      </c>
      <c r="C276" s="3" t="str">
        <f>IF($A276="","",(LOOKUP($A276,'STEP 2-WQv Calculation'!$A$8:$A$37,'STEP 2-WQv Calculation'!$C$8:$C$37)))</f>
        <v/>
      </c>
      <c r="D276" s="212" t="str">
        <f>IF($A276="","",(LOOKUP($A276,'STEP 2-WQv Calculation'!$A$8:$A$37,'STEP 2-WQv Calculation'!$D$8:$D$37)))</f>
        <v/>
      </c>
      <c r="E276" s="3" t="str">
        <f>IF($A276="","",(LOOKUP($A276,'STEP 2-WQv Calculation'!$A$8:$A$37,'STEP 2-WQv Calculation'!$E$8:$E$37)))</f>
        <v/>
      </c>
      <c r="F276" s="217" t="str">
        <f>IF($A276="","",(LOOKUP($A276,'STEP 2-WQv Calculation'!$A$8:$A$37,'STEP 2-WQv Calculation'!$F$8:$F$37)))</f>
        <v/>
      </c>
      <c r="G276" s="22">
        <f>'STEP 2-WQv Calculation'!B141</f>
        <v>0</v>
      </c>
      <c r="H276" s="198" t="str">
        <f>IF($A276="","",(LOOKUP($A276,'STEP 2-WQv Calculation'!$A$8:$A$37,'STEP 2-WQv Calculation'!$G$8:$G$37)))</f>
        <v/>
      </c>
    </row>
    <row r="277" spans="1:8" x14ac:dyDescent="0.35">
      <c r="A277" s="360" t="s">
        <v>226</v>
      </c>
      <c r="B277" s="361"/>
      <c r="C277" s="361"/>
      <c r="D277" s="361"/>
      <c r="E277" s="361"/>
      <c r="F277" s="361"/>
      <c r="G277" s="361"/>
      <c r="H277" s="362"/>
    </row>
    <row r="278" spans="1:8" x14ac:dyDescent="0.35">
      <c r="A278" s="354" t="s">
        <v>325</v>
      </c>
      <c r="B278" s="355"/>
      <c r="C278" s="356"/>
      <c r="D278" s="139"/>
      <c r="E278" s="357"/>
      <c r="F278" s="358"/>
      <c r="G278" s="358"/>
      <c r="H278" s="359"/>
    </row>
    <row r="279" spans="1:8" x14ac:dyDescent="0.35">
      <c r="A279" s="242" t="s">
        <v>326</v>
      </c>
      <c r="B279" s="243"/>
      <c r="C279" s="244"/>
      <c r="D279" s="135" t="str">
        <f>IF(B276="","",IF(B276&gt;5,"Yes","No"))</f>
        <v/>
      </c>
      <c r="E279" s="322" t="str">
        <f>IF(D279="Yes","Does not meet design criteria","")</f>
        <v/>
      </c>
      <c r="F279" s="323"/>
      <c r="G279" s="323"/>
      <c r="H279" s="324"/>
    </row>
    <row r="280" spans="1:8" x14ac:dyDescent="0.35">
      <c r="A280" s="245" t="s">
        <v>247</v>
      </c>
      <c r="B280" s="245"/>
      <c r="C280" s="245"/>
      <c r="D280" s="211"/>
      <c r="E280" s="322" t="str">
        <f>IF(D280="","This practice cannot be used for hotspot treatment",IF(D280="Yes","Does not meet design criteria",""))</f>
        <v>This practice cannot be used for hotspot treatment</v>
      </c>
      <c r="F280" s="323"/>
      <c r="G280" s="323"/>
      <c r="H280" s="324"/>
    </row>
    <row r="281" spans="1:8" x14ac:dyDescent="0.35">
      <c r="A281" s="273" t="s">
        <v>232</v>
      </c>
      <c r="B281" s="273"/>
      <c r="C281" s="273"/>
      <c r="D281" s="273"/>
      <c r="E281" s="273"/>
      <c r="F281" s="273"/>
      <c r="G281" s="273"/>
      <c r="H281" s="273"/>
    </row>
    <row r="282" spans="1:8" x14ac:dyDescent="0.35">
      <c r="A282" s="346"/>
      <c r="B282" s="347"/>
      <c r="C282" s="348"/>
      <c r="D282" s="47" t="s">
        <v>256</v>
      </c>
      <c r="E282" s="48" t="s">
        <v>257</v>
      </c>
      <c r="F282" s="349" t="s">
        <v>258</v>
      </c>
      <c r="G282" s="350"/>
      <c r="H282" s="351"/>
    </row>
    <row r="283" spans="1:8" x14ac:dyDescent="0.35">
      <c r="A283" s="352" t="s">
        <v>327</v>
      </c>
      <c r="B283" s="353"/>
      <c r="C283" s="198" t="s">
        <v>328</v>
      </c>
      <c r="D283" s="51"/>
      <c r="E283" s="136" t="s">
        <v>329</v>
      </c>
      <c r="F283" s="344" t="str">
        <f>IF(D283="","Taken from hydrologic modeling",IF(D283&gt;3,"Does not meet design criteria","Taken from hydrologic modeling"))</f>
        <v>Taken from hydrologic modeling</v>
      </c>
      <c r="G283" s="344"/>
      <c r="H283" s="344"/>
    </row>
    <row r="284" spans="1:8" x14ac:dyDescent="0.35">
      <c r="A284" s="342" t="s">
        <v>331</v>
      </c>
      <c r="B284" s="343"/>
      <c r="C284" s="198" t="s">
        <v>332</v>
      </c>
      <c r="D284" s="51"/>
      <c r="E284" s="192" t="s">
        <v>271</v>
      </c>
      <c r="F284" s="345" t="str">
        <f>IF(D284&lt;2,"Does not meet design criteria",IF(D284&gt;6,"Does not meet design criteria",""))</f>
        <v>Does not meet design criteria</v>
      </c>
      <c r="G284" s="345"/>
      <c r="H284" s="345"/>
    </row>
    <row r="285" spans="1:8" x14ac:dyDescent="0.35">
      <c r="A285" s="342" t="s">
        <v>333</v>
      </c>
      <c r="B285" s="343"/>
      <c r="C285" s="198" t="s">
        <v>334</v>
      </c>
      <c r="D285" s="51"/>
      <c r="E285" s="192" t="s">
        <v>271</v>
      </c>
      <c r="F285" s="344" t="str">
        <f>IF(D285="","Taken from hydrologic modeling", IF(D285&gt;0.3333,"Does not meet design criteria","Taken from hydrologic modeling"))</f>
        <v>Taken from hydrologic modeling</v>
      </c>
      <c r="G285" s="344"/>
      <c r="H285" s="344"/>
    </row>
    <row r="286" spans="1:8" x14ac:dyDescent="0.35">
      <c r="A286" s="342" t="s">
        <v>335</v>
      </c>
      <c r="B286" s="343"/>
      <c r="C286" s="198" t="s">
        <v>336</v>
      </c>
      <c r="D286" s="51"/>
      <c r="E286" s="192" t="s">
        <v>337</v>
      </c>
      <c r="F286" s="345" t="str">
        <f>IF(D286="","",IF(D286&lt;3,"Does not meet design criteria",""))</f>
        <v/>
      </c>
      <c r="G286" s="345"/>
      <c r="H286" s="345"/>
    </row>
    <row r="287" spans="1:8" x14ac:dyDescent="0.35">
      <c r="A287" s="342" t="s">
        <v>338</v>
      </c>
      <c r="B287" s="343"/>
      <c r="C287" s="198" t="s">
        <v>339</v>
      </c>
      <c r="D287" s="137">
        <f>D284+(2)*(D286)*(D285)</f>
        <v>0</v>
      </c>
      <c r="E287" s="192" t="s">
        <v>271</v>
      </c>
      <c r="F287" s="344"/>
      <c r="G287" s="344"/>
      <c r="H287" s="344"/>
    </row>
    <row r="288" spans="1:8" x14ac:dyDescent="0.35">
      <c r="A288" s="342" t="s">
        <v>340</v>
      </c>
      <c r="B288" s="343"/>
      <c r="C288" s="198" t="s">
        <v>341</v>
      </c>
      <c r="D288" s="137">
        <f>D284+(((D285^2)+(D286*D285)^2)^0.5)*2</f>
        <v>0</v>
      </c>
      <c r="E288" s="192" t="s">
        <v>271</v>
      </c>
      <c r="F288" s="344"/>
      <c r="G288" s="344"/>
      <c r="H288" s="344"/>
    </row>
    <row r="289" spans="1:8" x14ac:dyDescent="0.35">
      <c r="A289" s="342" t="s">
        <v>342</v>
      </c>
      <c r="B289" s="343"/>
      <c r="C289" s="198" t="s">
        <v>343</v>
      </c>
      <c r="D289" s="137">
        <f>(D285*(D284+D287))/2</f>
        <v>0</v>
      </c>
      <c r="E289" s="192" t="s">
        <v>316</v>
      </c>
      <c r="F289" s="344"/>
      <c r="G289" s="344"/>
      <c r="H289" s="344"/>
    </row>
    <row r="290" spans="1:8" x14ac:dyDescent="0.35">
      <c r="A290" s="342" t="s">
        <v>344</v>
      </c>
      <c r="B290" s="343"/>
      <c r="C290" s="198" t="s">
        <v>345</v>
      </c>
      <c r="D290" s="137" t="str">
        <f>IF(D283="","",D283/D289)</f>
        <v/>
      </c>
      <c r="E290" s="192" t="s">
        <v>346</v>
      </c>
      <c r="F290" s="344" t="str">
        <f>IF(D290&gt;1,"Does not meet design criteria","")</f>
        <v>Does not meet design criteria</v>
      </c>
      <c r="G290" s="344"/>
      <c r="H290" s="344"/>
    </row>
    <row r="291" spans="1:8" x14ac:dyDescent="0.35">
      <c r="A291" s="342" t="s">
        <v>347</v>
      </c>
      <c r="B291" s="343"/>
      <c r="C291" s="198"/>
      <c r="D291" s="50"/>
      <c r="E291" s="192" t="s">
        <v>261</v>
      </c>
      <c r="F291" s="344"/>
      <c r="G291" s="344"/>
      <c r="H291" s="344"/>
    </row>
    <row r="292" spans="1:8" x14ac:dyDescent="0.35">
      <c r="A292" s="343" t="s">
        <v>348</v>
      </c>
      <c r="B292" s="285"/>
      <c r="C292" s="198" t="s">
        <v>349</v>
      </c>
      <c r="D292" s="137" t="e">
        <f>IF((D291*60*D290)&lt;100,100,(D291*60*D290))</f>
        <v>#VALUE!</v>
      </c>
      <c r="E292" s="192" t="s">
        <v>271</v>
      </c>
      <c r="F292" s="344"/>
      <c r="G292" s="344"/>
      <c r="H292" s="344"/>
    </row>
    <row r="293" spans="1:8" x14ac:dyDescent="0.35">
      <c r="A293" s="343" t="s">
        <v>350</v>
      </c>
      <c r="B293" s="285"/>
      <c r="C293" s="198" t="s">
        <v>351</v>
      </c>
      <c r="D293" s="50"/>
      <c r="E293" s="192" t="s">
        <v>271</v>
      </c>
      <c r="F293" s="344" t="str">
        <f>IF(D293="","",IF(D293&lt;D292,"Does not meet design criteria",""))</f>
        <v/>
      </c>
      <c r="G293" s="344"/>
      <c r="H293" s="344"/>
    </row>
    <row r="294" spans="1:8" x14ac:dyDescent="0.35">
      <c r="A294" s="343" t="s">
        <v>352</v>
      </c>
      <c r="B294" s="285"/>
      <c r="C294" s="198" t="s">
        <v>353</v>
      </c>
      <c r="D294" s="50"/>
      <c r="E294" s="192" t="s">
        <v>266</v>
      </c>
      <c r="F294" s="344" t="str">
        <f>IF(D294&lt;0.005,"Does not meet design criteria",IF(D294&gt;0.04,"Does not meet design criteria",""))</f>
        <v>Does not meet design criteria</v>
      </c>
      <c r="G294" s="344"/>
      <c r="H294" s="344"/>
    </row>
    <row r="295" spans="1:8" x14ac:dyDescent="0.35">
      <c r="A295" s="342" t="s">
        <v>354</v>
      </c>
      <c r="B295" s="342"/>
      <c r="C295" s="198" t="s">
        <v>355</v>
      </c>
      <c r="D295" s="140"/>
      <c r="E295" s="192" t="s">
        <v>271</v>
      </c>
      <c r="F295" s="345"/>
      <c r="G295" s="345"/>
      <c r="H295" s="345"/>
    </row>
    <row r="296" spans="1:8" x14ac:dyDescent="0.35">
      <c r="A296" s="343" t="s">
        <v>356</v>
      </c>
      <c r="B296" s="363"/>
      <c r="C296" s="198" t="s">
        <v>357</v>
      </c>
      <c r="D296" s="62" t="str">
        <f>IF(D294="","",D295/D294)</f>
        <v/>
      </c>
      <c r="E296" s="192" t="s">
        <v>271</v>
      </c>
      <c r="F296" s="345"/>
      <c r="G296" s="345"/>
      <c r="H296" s="345"/>
    </row>
    <row r="297" spans="1:8" x14ac:dyDescent="0.35">
      <c r="A297" s="342" t="s">
        <v>358</v>
      </c>
      <c r="B297" s="342"/>
      <c r="C297" s="198" t="s">
        <v>217</v>
      </c>
      <c r="D297" s="62" t="str">
        <f>IF(D296="","",D293/D296)</f>
        <v/>
      </c>
      <c r="E297" s="192"/>
      <c r="F297" s="345"/>
      <c r="G297" s="345"/>
      <c r="H297" s="345"/>
    </row>
    <row r="298" spans="1:8" x14ac:dyDescent="0.35">
      <c r="A298" s="342" t="s">
        <v>359</v>
      </c>
      <c r="B298" s="342"/>
      <c r="C298" s="198" t="s">
        <v>360</v>
      </c>
      <c r="D298" s="140"/>
      <c r="E298" s="192" t="s">
        <v>271</v>
      </c>
      <c r="F298" s="344" t="s">
        <v>330</v>
      </c>
      <c r="G298" s="344"/>
      <c r="H298" s="344"/>
    </row>
    <row r="299" spans="1:8" x14ac:dyDescent="0.35">
      <c r="A299" s="342" t="s">
        <v>361</v>
      </c>
      <c r="B299" s="342"/>
      <c r="C299" s="198" t="s">
        <v>362</v>
      </c>
      <c r="D299" s="62">
        <f>D284+(2)*(D286)*(D298)</f>
        <v>0</v>
      </c>
      <c r="E299" s="192" t="s">
        <v>271</v>
      </c>
      <c r="F299" s="345"/>
      <c r="G299" s="345"/>
      <c r="H299" s="345"/>
    </row>
    <row r="300" spans="1:8" x14ac:dyDescent="0.35">
      <c r="A300" s="342" t="s">
        <v>363</v>
      </c>
      <c r="B300" s="342"/>
      <c r="C300" s="198" t="s">
        <v>364</v>
      </c>
      <c r="D300" s="62">
        <f>(D298*(D284+D299))/2</f>
        <v>0</v>
      </c>
      <c r="E300" s="192" t="s">
        <v>316</v>
      </c>
      <c r="F300" s="345"/>
      <c r="G300" s="345"/>
      <c r="H300" s="345"/>
    </row>
    <row r="301" spans="1:8" x14ac:dyDescent="0.35">
      <c r="A301" s="342" t="s">
        <v>365</v>
      </c>
      <c r="B301" s="342"/>
      <c r="C301" s="198" t="s">
        <v>366</v>
      </c>
      <c r="D301" s="62">
        <f>D284+(((D298^2)+(D286*D298)^2)^0.5)*2</f>
        <v>0</v>
      </c>
      <c r="E301" s="192" t="s">
        <v>271</v>
      </c>
      <c r="F301" s="345"/>
      <c r="G301" s="345"/>
      <c r="H301" s="345"/>
    </row>
    <row r="302" spans="1:8" x14ac:dyDescent="0.35">
      <c r="A302" s="342" t="s">
        <v>367</v>
      </c>
      <c r="B302" s="342"/>
      <c r="C302" s="198" t="s">
        <v>268</v>
      </c>
      <c r="D302" s="140"/>
      <c r="E302" s="192"/>
      <c r="F302" s="345" t="s">
        <v>368</v>
      </c>
      <c r="G302" s="345"/>
      <c r="H302" s="345"/>
    </row>
    <row r="303" spans="1:8" x14ac:dyDescent="0.35">
      <c r="A303" s="342" t="s">
        <v>369</v>
      </c>
      <c r="B303" s="342"/>
      <c r="C303" s="198" t="s">
        <v>370</v>
      </c>
      <c r="D303" s="62" t="str">
        <f>IF(D302="","",(1.49/D302)*((D300/D301)^(2/3))*(D294^0.5))</f>
        <v/>
      </c>
      <c r="E303" s="192" t="s">
        <v>346</v>
      </c>
      <c r="F303" s="345" t="str">
        <f>IF(D303="","",IF(D303&gt;5,"Does not meet design criteria",""))</f>
        <v/>
      </c>
      <c r="G303" s="345"/>
      <c r="H303" s="345"/>
    </row>
    <row r="304" spans="1:8" x14ac:dyDescent="0.35">
      <c r="A304" s="342" t="s">
        <v>371</v>
      </c>
      <c r="B304" s="342"/>
      <c r="C304" s="198"/>
      <c r="D304" s="140"/>
      <c r="E304" s="192" t="s">
        <v>271</v>
      </c>
      <c r="F304" s="345" t="str">
        <f>IF(D304="","Taken from hydrologic modeling",IF(D304&lt;0.5,"Does not meet design criteria","Taken from hydrologic modeling"))</f>
        <v>Taken from hydrologic modeling</v>
      </c>
      <c r="G304" s="345"/>
      <c r="H304" s="345"/>
    </row>
    <row r="305" spans="1:8" x14ac:dyDescent="0.35">
      <c r="A305" s="337" t="s">
        <v>372</v>
      </c>
      <c r="B305" s="337"/>
      <c r="C305" s="337"/>
      <c r="D305" s="337"/>
      <c r="E305" s="338"/>
      <c r="F305" s="338"/>
      <c r="G305" s="338"/>
      <c r="H305" s="338"/>
    </row>
    <row r="306" spans="1:8" x14ac:dyDescent="0.35">
      <c r="A306" s="240" t="s">
        <v>241</v>
      </c>
      <c r="B306" s="240"/>
      <c r="C306" s="240"/>
      <c r="D306" s="9" t="str">
        <f>IF(A276="","",IF(D280="Yes",0,IF(D279="Yes",0,IF(D283&gt;3,0,IF(D284&lt;2,0,IF(D284&gt;6,0,IF(D285&lt;0.33,0,IF(D286&lt;3,0,IF(D290&gt;1,0,IF(D294&lt;0.005,0,IF(D294&gt;0.04,0,IF(D293&lt;100,0,IF(D303&gt;5,0,IF(D304&lt;0.5,0,IF(D293&lt;D292,0,IF(D278="A",F276*0.2,IF(D278="B",F276*0.2,IF(D278="C",F276*0.1,IF(D278="D",F276*0.1,IF(D278="Modified C",F276*0.15,IF(D278="Modified D",F276*0.12)))))))))))))))))))))</f>
        <v/>
      </c>
      <c r="E306" s="339" t="s">
        <v>2</v>
      </c>
      <c r="F306" s="340"/>
      <c r="G306" s="340"/>
      <c r="H306" s="341"/>
    </row>
    <row r="307" spans="1:8" x14ac:dyDescent="0.35">
      <c r="A307" s="16" t="s">
        <v>56</v>
      </c>
      <c r="B307" s="225" t="str">
        <f>IF('STEP 2-WQv Calculation'!$B$4="","",'STEP 2-WQv Calculation'!$B$4)</f>
        <v/>
      </c>
      <c r="C307" s="4"/>
      <c r="D307" s="4"/>
      <c r="E307" s="4" t="s">
        <v>324</v>
      </c>
      <c r="F307" s="4"/>
      <c r="G307" s="4"/>
      <c r="H307" s="4"/>
    </row>
    <row r="308" spans="1:8" x14ac:dyDescent="0.35">
      <c r="A308" s="273" t="s">
        <v>293</v>
      </c>
      <c r="B308" s="273"/>
      <c r="C308" s="273"/>
      <c r="D308" s="273"/>
      <c r="E308" s="273"/>
      <c r="F308" s="273"/>
      <c r="G308" s="273"/>
      <c r="H308" s="273"/>
    </row>
    <row r="309" spans="1:8" ht="38.5" x14ac:dyDescent="0.35">
      <c r="A309" s="204" t="s">
        <v>60</v>
      </c>
      <c r="B309" s="205" t="s">
        <v>61</v>
      </c>
      <c r="C309" s="205" t="s">
        <v>62</v>
      </c>
      <c r="D309" s="205" t="s">
        <v>63</v>
      </c>
      <c r="E309" s="205" t="s">
        <v>64</v>
      </c>
      <c r="F309" s="205" t="s">
        <v>65</v>
      </c>
      <c r="G309" s="205" t="s">
        <v>244</v>
      </c>
      <c r="H309" s="206" t="s">
        <v>13</v>
      </c>
    </row>
    <row r="310" spans="1:8" x14ac:dyDescent="0.35">
      <c r="A310" s="218"/>
      <c r="B310" s="3" t="str">
        <f>IF($A310="","",(LOOKUP($A310,'STEP 2-WQv Calculation'!$A$8:$A$37,'STEP 2-WQv Calculation'!$B$8:$B$37)))</f>
        <v/>
      </c>
      <c r="C310" s="3" t="str">
        <f>IF($A310="","",(LOOKUP($A310,'STEP 2-WQv Calculation'!$A$8:$A$37,'STEP 2-WQv Calculation'!$C$8:$C$37)))</f>
        <v/>
      </c>
      <c r="D310" s="212" t="str">
        <f>IF($A310="","",(LOOKUP($A310,'STEP 2-WQv Calculation'!$A$8:$A$37,'STEP 2-WQv Calculation'!$D$8:$D$37)))</f>
        <v/>
      </c>
      <c r="E310" s="3" t="str">
        <f>IF($A310="","",(LOOKUP($A310,'STEP 2-WQv Calculation'!$A$8:$A$37,'STEP 2-WQv Calculation'!$E$8:$E$37)))</f>
        <v/>
      </c>
      <c r="F310" s="217" t="str">
        <f>IF($A310="","",(LOOKUP($A310,'STEP 2-WQv Calculation'!$A$8:$A$37,'STEP 2-WQv Calculation'!$F$8:$F$37)))</f>
        <v/>
      </c>
      <c r="G310" s="22">
        <f>'STEP 2-WQv Calculation'!B175</f>
        <v>0</v>
      </c>
      <c r="H310" s="198" t="str">
        <f>IF($A310="","",(LOOKUP($A310,'STEP 2-WQv Calculation'!$A$8:$A$37,'STEP 2-WQv Calculation'!$G$8:$G$37)))</f>
        <v/>
      </c>
    </row>
    <row r="311" spans="1:8" x14ac:dyDescent="0.35">
      <c r="A311" s="360" t="s">
        <v>226</v>
      </c>
      <c r="B311" s="361"/>
      <c r="C311" s="361"/>
      <c r="D311" s="361"/>
      <c r="E311" s="361"/>
      <c r="F311" s="361"/>
      <c r="G311" s="361"/>
      <c r="H311" s="362"/>
    </row>
    <row r="312" spans="1:8" x14ac:dyDescent="0.35">
      <c r="A312" s="354" t="s">
        <v>325</v>
      </c>
      <c r="B312" s="355"/>
      <c r="C312" s="356"/>
      <c r="D312" s="139"/>
      <c r="E312" s="357"/>
      <c r="F312" s="358"/>
      <c r="G312" s="358"/>
      <c r="H312" s="359"/>
    </row>
    <row r="313" spans="1:8" x14ac:dyDescent="0.35">
      <c r="A313" s="242" t="s">
        <v>326</v>
      </c>
      <c r="B313" s="243"/>
      <c r="C313" s="244"/>
      <c r="D313" s="135" t="str">
        <f>IF(B310="","",IF(B310&gt;5,"Yes","No"))</f>
        <v/>
      </c>
      <c r="E313" s="322" t="str">
        <f>IF(D313="Yes","Does not meet design criteria","")</f>
        <v/>
      </c>
      <c r="F313" s="323"/>
      <c r="G313" s="323"/>
      <c r="H313" s="324"/>
    </row>
    <row r="314" spans="1:8" x14ac:dyDescent="0.35">
      <c r="A314" s="245" t="s">
        <v>247</v>
      </c>
      <c r="B314" s="245"/>
      <c r="C314" s="245"/>
      <c r="D314" s="211"/>
      <c r="E314" s="322" t="str">
        <f>IF(D314="","This practice cannot be used for hotspot treatment",IF(D314="Yes","Does not meet design criteria",""))</f>
        <v>This practice cannot be used for hotspot treatment</v>
      </c>
      <c r="F314" s="323"/>
      <c r="G314" s="323"/>
      <c r="H314" s="324"/>
    </row>
    <row r="315" spans="1:8" x14ac:dyDescent="0.35">
      <c r="A315" s="273" t="s">
        <v>232</v>
      </c>
      <c r="B315" s="273"/>
      <c r="C315" s="273"/>
      <c r="D315" s="273"/>
      <c r="E315" s="273"/>
      <c r="F315" s="273"/>
      <c r="G315" s="273"/>
      <c r="H315" s="273"/>
    </row>
    <row r="316" spans="1:8" x14ac:dyDescent="0.35">
      <c r="A316" s="346"/>
      <c r="B316" s="347"/>
      <c r="C316" s="348"/>
      <c r="D316" s="47" t="s">
        <v>256</v>
      </c>
      <c r="E316" s="48" t="s">
        <v>257</v>
      </c>
      <c r="F316" s="349" t="s">
        <v>258</v>
      </c>
      <c r="G316" s="350"/>
      <c r="H316" s="351"/>
    </row>
    <row r="317" spans="1:8" x14ac:dyDescent="0.35">
      <c r="A317" s="352" t="s">
        <v>327</v>
      </c>
      <c r="B317" s="353"/>
      <c r="C317" s="198" t="s">
        <v>328</v>
      </c>
      <c r="D317" s="51"/>
      <c r="E317" s="136" t="s">
        <v>329</v>
      </c>
      <c r="F317" s="344" t="str">
        <f>IF(D317="","Taken from hydrologic modeling",IF(D317&gt;3,"Does not meet design criteria","Taken from hydrologic modeling"))</f>
        <v>Taken from hydrologic modeling</v>
      </c>
      <c r="G317" s="344"/>
      <c r="H317" s="344"/>
    </row>
    <row r="318" spans="1:8" x14ac:dyDescent="0.35">
      <c r="A318" s="342" t="s">
        <v>331</v>
      </c>
      <c r="B318" s="343"/>
      <c r="C318" s="198" t="s">
        <v>332</v>
      </c>
      <c r="D318" s="51"/>
      <c r="E318" s="192" t="s">
        <v>271</v>
      </c>
      <c r="F318" s="345" t="str">
        <f>IF(D318&lt;2,"Does not meet design criteria",IF(D318&gt;6,"Does not meet design criteria",""))</f>
        <v>Does not meet design criteria</v>
      </c>
      <c r="G318" s="345"/>
      <c r="H318" s="345"/>
    </row>
    <row r="319" spans="1:8" x14ac:dyDescent="0.35">
      <c r="A319" s="342" t="s">
        <v>333</v>
      </c>
      <c r="B319" s="343"/>
      <c r="C319" s="198" t="s">
        <v>334</v>
      </c>
      <c r="D319" s="51"/>
      <c r="E319" s="192" t="s">
        <v>271</v>
      </c>
      <c r="F319" s="344" t="str">
        <f>IF(D319="","Taken from hydrologic modeling", IF(D319&gt;0.3333,"Does not meet design criteria","Taken from hydrologic modeling"))</f>
        <v>Taken from hydrologic modeling</v>
      </c>
      <c r="G319" s="344"/>
      <c r="H319" s="344"/>
    </row>
    <row r="320" spans="1:8" x14ac:dyDescent="0.35">
      <c r="A320" s="342" t="s">
        <v>335</v>
      </c>
      <c r="B320" s="343"/>
      <c r="C320" s="198" t="s">
        <v>336</v>
      </c>
      <c r="D320" s="51"/>
      <c r="E320" s="192" t="s">
        <v>337</v>
      </c>
      <c r="F320" s="345" t="str">
        <f>IF(D320="","",IF(D320&lt;3,"Does not meet design criteria",""))</f>
        <v/>
      </c>
      <c r="G320" s="345"/>
      <c r="H320" s="345"/>
    </row>
    <row r="321" spans="1:8" x14ac:dyDescent="0.35">
      <c r="A321" s="342" t="s">
        <v>338</v>
      </c>
      <c r="B321" s="343"/>
      <c r="C321" s="198" t="s">
        <v>339</v>
      </c>
      <c r="D321" s="137">
        <f>D318+(2)*(D320)*(D319)</f>
        <v>0</v>
      </c>
      <c r="E321" s="192" t="s">
        <v>271</v>
      </c>
      <c r="F321" s="344"/>
      <c r="G321" s="344"/>
      <c r="H321" s="344"/>
    </row>
    <row r="322" spans="1:8" x14ac:dyDescent="0.35">
      <c r="A322" s="342" t="s">
        <v>340</v>
      </c>
      <c r="B322" s="343"/>
      <c r="C322" s="198" t="s">
        <v>341</v>
      </c>
      <c r="D322" s="137">
        <f>D318+(((D319^2)+(D320*D319)^2)^0.5)*2</f>
        <v>0</v>
      </c>
      <c r="E322" s="192" t="s">
        <v>271</v>
      </c>
      <c r="F322" s="344"/>
      <c r="G322" s="344"/>
      <c r="H322" s="344"/>
    </row>
    <row r="323" spans="1:8" x14ac:dyDescent="0.35">
      <c r="A323" s="342" t="s">
        <v>342</v>
      </c>
      <c r="B323" s="343"/>
      <c r="C323" s="198" t="s">
        <v>343</v>
      </c>
      <c r="D323" s="137">
        <f>(D319*(D318+D321))/2</f>
        <v>0</v>
      </c>
      <c r="E323" s="192" t="s">
        <v>316</v>
      </c>
      <c r="F323" s="344"/>
      <c r="G323" s="344"/>
      <c r="H323" s="344"/>
    </row>
    <row r="324" spans="1:8" x14ac:dyDescent="0.35">
      <c r="A324" s="342" t="s">
        <v>344</v>
      </c>
      <c r="B324" s="343"/>
      <c r="C324" s="198" t="s">
        <v>345</v>
      </c>
      <c r="D324" s="137" t="str">
        <f>IF(D317="","",D317/D323)</f>
        <v/>
      </c>
      <c r="E324" s="192" t="s">
        <v>346</v>
      </c>
      <c r="F324" s="344" t="str">
        <f>IF(D324&gt;1,"Does not meet design criteria","")</f>
        <v>Does not meet design criteria</v>
      </c>
      <c r="G324" s="344"/>
      <c r="H324" s="344"/>
    </row>
    <row r="325" spans="1:8" x14ac:dyDescent="0.35">
      <c r="A325" s="342" t="s">
        <v>347</v>
      </c>
      <c r="B325" s="343"/>
      <c r="C325" s="198"/>
      <c r="D325" s="50"/>
      <c r="E325" s="192" t="s">
        <v>261</v>
      </c>
      <c r="F325" s="344"/>
      <c r="G325" s="344"/>
      <c r="H325" s="344"/>
    </row>
    <row r="326" spans="1:8" x14ac:dyDescent="0.35">
      <c r="A326" s="343" t="s">
        <v>348</v>
      </c>
      <c r="B326" s="285"/>
      <c r="C326" s="198" t="s">
        <v>349</v>
      </c>
      <c r="D326" s="137" t="e">
        <f>IF((D325*60*D324)&lt;100,100,(D325*60*D324))</f>
        <v>#VALUE!</v>
      </c>
      <c r="E326" s="192" t="s">
        <v>271</v>
      </c>
      <c r="F326" s="344"/>
      <c r="G326" s="344"/>
      <c r="H326" s="344"/>
    </row>
    <row r="327" spans="1:8" x14ac:dyDescent="0.35">
      <c r="A327" s="343" t="s">
        <v>350</v>
      </c>
      <c r="B327" s="285"/>
      <c r="C327" s="198" t="s">
        <v>351</v>
      </c>
      <c r="D327" s="50"/>
      <c r="E327" s="192" t="s">
        <v>271</v>
      </c>
      <c r="F327" s="344" t="str">
        <f>IF(D327="","",IF(D327&lt;D326,"Does not meet design criteria",""))</f>
        <v/>
      </c>
      <c r="G327" s="344"/>
      <c r="H327" s="344"/>
    </row>
    <row r="328" spans="1:8" x14ac:dyDescent="0.35">
      <c r="A328" s="343" t="s">
        <v>352</v>
      </c>
      <c r="B328" s="285"/>
      <c r="C328" s="198" t="s">
        <v>353</v>
      </c>
      <c r="D328" s="50"/>
      <c r="E328" s="192" t="s">
        <v>266</v>
      </c>
      <c r="F328" s="344" t="str">
        <f>IF(D328&lt;0.005,"Does not meet design criteria",IF(D328&gt;0.04,"Does not meet design criteria",""))</f>
        <v>Does not meet design criteria</v>
      </c>
      <c r="G328" s="344"/>
      <c r="H328" s="344"/>
    </row>
    <row r="329" spans="1:8" x14ac:dyDescent="0.35">
      <c r="A329" s="342" t="s">
        <v>354</v>
      </c>
      <c r="B329" s="342"/>
      <c r="C329" s="198" t="s">
        <v>355</v>
      </c>
      <c r="D329" s="140"/>
      <c r="E329" s="192" t="s">
        <v>271</v>
      </c>
      <c r="F329" s="345"/>
      <c r="G329" s="345"/>
      <c r="H329" s="345"/>
    </row>
    <row r="330" spans="1:8" x14ac:dyDescent="0.35">
      <c r="A330" s="343" t="s">
        <v>356</v>
      </c>
      <c r="B330" s="363"/>
      <c r="C330" s="198" t="s">
        <v>357</v>
      </c>
      <c r="D330" s="62" t="str">
        <f>IF(D328="","",D329/D328)</f>
        <v/>
      </c>
      <c r="E330" s="192" t="s">
        <v>271</v>
      </c>
      <c r="F330" s="345"/>
      <c r="G330" s="345"/>
      <c r="H330" s="345"/>
    </row>
    <row r="331" spans="1:8" x14ac:dyDescent="0.35">
      <c r="A331" s="342" t="s">
        <v>358</v>
      </c>
      <c r="B331" s="342"/>
      <c r="C331" s="198" t="s">
        <v>217</v>
      </c>
      <c r="D331" s="62" t="str">
        <f>IF(D330="","",D327/D330)</f>
        <v/>
      </c>
      <c r="E331" s="192"/>
      <c r="F331" s="345"/>
      <c r="G331" s="345"/>
      <c r="H331" s="345"/>
    </row>
    <row r="332" spans="1:8" x14ac:dyDescent="0.35">
      <c r="A332" s="342" t="s">
        <v>359</v>
      </c>
      <c r="B332" s="342"/>
      <c r="C332" s="198" t="s">
        <v>360</v>
      </c>
      <c r="D332" s="140"/>
      <c r="E332" s="192" t="s">
        <v>271</v>
      </c>
      <c r="F332" s="344" t="s">
        <v>330</v>
      </c>
      <c r="G332" s="344"/>
      <c r="H332" s="344"/>
    </row>
    <row r="333" spans="1:8" x14ac:dyDescent="0.35">
      <c r="A333" s="342" t="s">
        <v>361</v>
      </c>
      <c r="B333" s="342"/>
      <c r="C333" s="198" t="s">
        <v>362</v>
      </c>
      <c r="D333" s="62">
        <f>D318+(2)*(D320)*(D332)</f>
        <v>0</v>
      </c>
      <c r="E333" s="192" t="s">
        <v>271</v>
      </c>
      <c r="F333" s="345"/>
      <c r="G333" s="345"/>
      <c r="H333" s="345"/>
    </row>
    <row r="334" spans="1:8" x14ac:dyDescent="0.35">
      <c r="A334" s="342" t="s">
        <v>363</v>
      </c>
      <c r="B334" s="342"/>
      <c r="C334" s="198" t="s">
        <v>364</v>
      </c>
      <c r="D334" s="62">
        <f>(D332*(D318+D333))/2</f>
        <v>0</v>
      </c>
      <c r="E334" s="192" t="s">
        <v>316</v>
      </c>
      <c r="F334" s="345"/>
      <c r="G334" s="345"/>
      <c r="H334" s="345"/>
    </row>
    <row r="335" spans="1:8" x14ac:dyDescent="0.35">
      <c r="A335" s="342" t="s">
        <v>365</v>
      </c>
      <c r="B335" s="342"/>
      <c r="C335" s="198" t="s">
        <v>366</v>
      </c>
      <c r="D335" s="62">
        <f>D318+(((D332^2)+(D320*D332)^2)^0.5)*2</f>
        <v>0</v>
      </c>
      <c r="E335" s="192" t="s">
        <v>271</v>
      </c>
      <c r="F335" s="345"/>
      <c r="G335" s="345"/>
      <c r="H335" s="345"/>
    </row>
    <row r="336" spans="1:8" x14ac:dyDescent="0.35">
      <c r="A336" s="342" t="s">
        <v>367</v>
      </c>
      <c r="B336" s="342"/>
      <c r="C336" s="198" t="s">
        <v>268</v>
      </c>
      <c r="D336" s="140"/>
      <c r="E336" s="192"/>
      <c r="F336" s="345" t="s">
        <v>368</v>
      </c>
      <c r="G336" s="345"/>
      <c r="H336" s="345"/>
    </row>
    <row r="337" spans="1:8" x14ac:dyDescent="0.35">
      <c r="A337" s="342" t="s">
        <v>369</v>
      </c>
      <c r="B337" s="342"/>
      <c r="C337" s="198" t="s">
        <v>370</v>
      </c>
      <c r="D337" s="62" t="str">
        <f>IF(D336="","",(1.49/D336)*((D334/D335)^(2/3))*(D328^0.5))</f>
        <v/>
      </c>
      <c r="E337" s="192" t="s">
        <v>346</v>
      </c>
      <c r="F337" s="345" t="str">
        <f>IF(D337="","",IF(D337&gt;5,"Does not meet design criteria",""))</f>
        <v/>
      </c>
      <c r="G337" s="345"/>
      <c r="H337" s="345"/>
    </row>
    <row r="338" spans="1:8" x14ac:dyDescent="0.35">
      <c r="A338" s="342" t="s">
        <v>371</v>
      </c>
      <c r="B338" s="342"/>
      <c r="C338" s="198"/>
      <c r="D338" s="140"/>
      <c r="E338" s="192" t="s">
        <v>271</v>
      </c>
      <c r="F338" s="345" t="str">
        <f>IF(D338="","Taken from hydrologic modeling",IF(D338&lt;0.5,"Does not meet design criteria","Taken from hydrologic modeling"))</f>
        <v>Taken from hydrologic modeling</v>
      </c>
      <c r="G338" s="345"/>
      <c r="H338" s="345"/>
    </row>
    <row r="339" spans="1:8" x14ac:dyDescent="0.35">
      <c r="A339" s="337" t="s">
        <v>372</v>
      </c>
      <c r="B339" s="337"/>
      <c r="C339" s="337"/>
      <c r="D339" s="337"/>
      <c r="E339" s="338"/>
      <c r="F339" s="338"/>
      <c r="G339" s="338"/>
      <c r="H339" s="338"/>
    </row>
    <row r="340" spans="1:8" x14ac:dyDescent="0.35">
      <c r="A340" s="240" t="s">
        <v>241</v>
      </c>
      <c r="B340" s="240"/>
      <c r="C340" s="240"/>
      <c r="D340" s="9" t="str">
        <f>IF(A310="","",IF(D314="Yes",0,IF(D313="Yes",0,IF(D317&gt;3,0,IF(D318&lt;2,0,IF(D318&gt;6,0,IF(D319&lt;0.33,0,IF(D320&lt;3,0,IF(D324&gt;1,0,IF(D328&lt;0.005,0,IF(D328&gt;0.04,0,IF(D327&lt;100,0,IF(D337&gt;5,0,IF(D338&lt;0.5,0,IF(D327&lt;D326,0,IF(D312="A",F310*0.2,IF(D312="B",F310*0.2,IF(D312="C",F310*0.1,IF(D312="D",F310*0.1,IF(D312="Modified C",F310*0.15,IF(D312="Modified D",F310*0.12)))))))))))))))))))))</f>
        <v/>
      </c>
      <c r="E340" s="339" t="s">
        <v>2</v>
      </c>
      <c r="F340" s="340"/>
      <c r="G340" s="340"/>
      <c r="H340" s="341"/>
    </row>
  </sheetData>
  <sheetProtection algorithmName="SHA-512" hashValue="lwMacWy2wr/1tt9jPdQUdRwGDN5KimXHjrmYn2GabkEyvW+tJGQZDeCc+04syedBVE3DXPr/TSovz8JXtfJEVA==" saltValue="k1iVAH34LHS4iuNzYzkrVA==" spinCount="100000" sheet="1" formatColumns="0" formatRows="0"/>
  <mergeCells count="582">
    <mergeCell ref="A336:B336"/>
    <mergeCell ref="F336:H336"/>
    <mergeCell ref="A337:B337"/>
    <mergeCell ref="F337:H337"/>
    <mergeCell ref="A338:B338"/>
    <mergeCell ref="F338:H338"/>
    <mergeCell ref="A339:H339"/>
    <mergeCell ref="A340:C340"/>
    <mergeCell ref="E340:H340"/>
    <mergeCell ref="A331:B331"/>
    <mergeCell ref="F331:H331"/>
    <mergeCell ref="A332:B332"/>
    <mergeCell ref="F332:H332"/>
    <mergeCell ref="A333:B333"/>
    <mergeCell ref="F333:H333"/>
    <mergeCell ref="A334:B334"/>
    <mergeCell ref="F334:H334"/>
    <mergeCell ref="A335:B335"/>
    <mergeCell ref="F335:H335"/>
    <mergeCell ref="A326:B326"/>
    <mergeCell ref="F326:H326"/>
    <mergeCell ref="A327:B327"/>
    <mergeCell ref="F327:H327"/>
    <mergeCell ref="A328:B328"/>
    <mergeCell ref="F328:H328"/>
    <mergeCell ref="A329:B329"/>
    <mergeCell ref="F329:H329"/>
    <mergeCell ref="A330:B330"/>
    <mergeCell ref="F330:H330"/>
    <mergeCell ref="A321:B321"/>
    <mergeCell ref="F321:H321"/>
    <mergeCell ref="A322:B322"/>
    <mergeCell ref="F322:H322"/>
    <mergeCell ref="A323:B323"/>
    <mergeCell ref="F323:H323"/>
    <mergeCell ref="A324:B324"/>
    <mergeCell ref="F324:H324"/>
    <mergeCell ref="A325:B325"/>
    <mergeCell ref="F325:H325"/>
    <mergeCell ref="A316:C316"/>
    <mergeCell ref="F316:H316"/>
    <mergeCell ref="A317:B317"/>
    <mergeCell ref="F317:H317"/>
    <mergeCell ref="A318:B318"/>
    <mergeCell ref="F318:H318"/>
    <mergeCell ref="A319:B319"/>
    <mergeCell ref="F319:H319"/>
    <mergeCell ref="A320:B320"/>
    <mergeCell ref="F320:H320"/>
    <mergeCell ref="A308:H308"/>
    <mergeCell ref="A311:H311"/>
    <mergeCell ref="A312:C312"/>
    <mergeCell ref="E312:H312"/>
    <mergeCell ref="A313:C313"/>
    <mergeCell ref="E313:H313"/>
    <mergeCell ref="A314:C314"/>
    <mergeCell ref="E314:H314"/>
    <mergeCell ref="A315:H315"/>
    <mergeCell ref="A302:B302"/>
    <mergeCell ref="F302:H302"/>
    <mergeCell ref="A303:B303"/>
    <mergeCell ref="F303:H303"/>
    <mergeCell ref="A304:B304"/>
    <mergeCell ref="F304:H304"/>
    <mergeCell ref="A305:H305"/>
    <mergeCell ref="A306:C306"/>
    <mergeCell ref="E306:H306"/>
    <mergeCell ref="A297:B297"/>
    <mergeCell ref="F297:H297"/>
    <mergeCell ref="A298:B298"/>
    <mergeCell ref="F298:H298"/>
    <mergeCell ref="A299:B299"/>
    <mergeCell ref="F299:H299"/>
    <mergeCell ref="A300:B300"/>
    <mergeCell ref="F300:H300"/>
    <mergeCell ref="A301:B301"/>
    <mergeCell ref="F301:H301"/>
    <mergeCell ref="A292:B292"/>
    <mergeCell ref="F292:H292"/>
    <mergeCell ref="A293:B293"/>
    <mergeCell ref="F293:H293"/>
    <mergeCell ref="A294:B294"/>
    <mergeCell ref="F294:H294"/>
    <mergeCell ref="A295:B295"/>
    <mergeCell ref="F295:H295"/>
    <mergeCell ref="A296:B296"/>
    <mergeCell ref="F296:H296"/>
    <mergeCell ref="A287:B287"/>
    <mergeCell ref="F287:H287"/>
    <mergeCell ref="A288:B288"/>
    <mergeCell ref="F288:H288"/>
    <mergeCell ref="A289:B289"/>
    <mergeCell ref="F289:H289"/>
    <mergeCell ref="A290:B290"/>
    <mergeCell ref="F290:H290"/>
    <mergeCell ref="A291:B291"/>
    <mergeCell ref="F291:H291"/>
    <mergeCell ref="A282:C282"/>
    <mergeCell ref="F282:H282"/>
    <mergeCell ref="A283:B283"/>
    <mergeCell ref="F283:H283"/>
    <mergeCell ref="A284:B284"/>
    <mergeCell ref="F284:H284"/>
    <mergeCell ref="A285:B285"/>
    <mergeCell ref="F285:H285"/>
    <mergeCell ref="A286:B286"/>
    <mergeCell ref="F286:H286"/>
    <mergeCell ref="A274:H274"/>
    <mergeCell ref="A277:H277"/>
    <mergeCell ref="A278:C278"/>
    <mergeCell ref="E278:H278"/>
    <mergeCell ref="A279:C279"/>
    <mergeCell ref="E279:H279"/>
    <mergeCell ref="A280:C280"/>
    <mergeCell ref="E280:H280"/>
    <mergeCell ref="A281:H281"/>
    <mergeCell ref="A268:B268"/>
    <mergeCell ref="F268:H268"/>
    <mergeCell ref="A269:B269"/>
    <mergeCell ref="F269:H269"/>
    <mergeCell ref="A270:B270"/>
    <mergeCell ref="F270:H270"/>
    <mergeCell ref="A271:H271"/>
    <mergeCell ref="A272:C272"/>
    <mergeCell ref="E272:H272"/>
    <mergeCell ref="A263:B263"/>
    <mergeCell ref="F263:H263"/>
    <mergeCell ref="A264:B264"/>
    <mergeCell ref="F264:H264"/>
    <mergeCell ref="A265:B265"/>
    <mergeCell ref="F265:H265"/>
    <mergeCell ref="A266:B266"/>
    <mergeCell ref="F266:H266"/>
    <mergeCell ref="A267:B267"/>
    <mergeCell ref="F267:H267"/>
    <mergeCell ref="A258:B258"/>
    <mergeCell ref="F258:H258"/>
    <mergeCell ref="A259:B259"/>
    <mergeCell ref="F259:H259"/>
    <mergeCell ref="A260:B260"/>
    <mergeCell ref="F260:H260"/>
    <mergeCell ref="A261:B261"/>
    <mergeCell ref="F261:H261"/>
    <mergeCell ref="A262:B262"/>
    <mergeCell ref="F262:H262"/>
    <mergeCell ref="A253:B253"/>
    <mergeCell ref="F253:H253"/>
    <mergeCell ref="A254:B254"/>
    <mergeCell ref="F254:H254"/>
    <mergeCell ref="A255:B255"/>
    <mergeCell ref="F255:H255"/>
    <mergeCell ref="A256:B256"/>
    <mergeCell ref="F256:H256"/>
    <mergeCell ref="A257:B257"/>
    <mergeCell ref="F257:H257"/>
    <mergeCell ref="A248:C248"/>
    <mergeCell ref="F248:H248"/>
    <mergeCell ref="A249:B249"/>
    <mergeCell ref="F249:H249"/>
    <mergeCell ref="A250:B250"/>
    <mergeCell ref="F250:H250"/>
    <mergeCell ref="A251:B251"/>
    <mergeCell ref="F251:H251"/>
    <mergeCell ref="A252:B252"/>
    <mergeCell ref="F252:H252"/>
    <mergeCell ref="A240:H240"/>
    <mergeCell ref="A243:H243"/>
    <mergeCell ref="A244:C244"/>
    <mergeCell ref="E244:H244"/>
    <mergeCell ref="A245:C245"/>
    <mergeCell ref="E245:H245"/>
    <mergeCell ref="A246:C246"/>
    <mergeCell ref="E246:H246"/>
    <mergeCell ref="A247:H247"/>
    <mergeCell ref="A234:B234"/>
    <mergeCell ref="F234:H234"/>
    <mergeCell ref="A235:B235"/>
    <mergeCell ref="F235:H235"/>
    <mergeCell ref="A236:B236"/>
    <mergeCell ref="F236:H236"/>
    <mergeCell ref="A237:H237"/>
    <mergeCell ref="A238:C238"/>
    <mergeCell ref="E238:H238"/>
    <mergeCell ref="A229:B229"/>
    <mergeCell ref="F229:H229"/>
    <mergeCell ref="A230:B230"/>
    <mergeCell ref="F230:H230"/>
    <mergeCell ref="A231:B231"/>
    <mergeCell ref="F231:H231"/>
    <mergeCell ref="A232:B232"/>
    <mergeCell ref="F232:H232"/>
    <mergeCell ref="A233:B233"/>
    <mergeCell ref="F233:H233"/>
    <mergeCell ref="A224:B224"/>
    <mergeCell ref="F224:H224"/>
    <mergeCell ref="A225:B225"/>
    <mergeCell ref="F225:H225"/>
    <mergeCell ref="A226:B226"/>
    <mergeCell ref="F226:H226"/>
    <mergeCell ref="A227:B227"/>
    <mergeCell ref="F227:H227"/>
    <mergeCell ref="A228:B228"/>
    <mergeCell ref="F228:H228"/>
    <mergeCell ref="A219:B219"/>
    <mergeCell ref="F219:H219"/>
    <mergeCell ref="A220:B220"/>
    <mergeCell ref="F220:H220"/>
    <mergeCell ref="A221:B221"/>
    <mergeCell ref="F221:H221"/>
    <mergeCell ref="A222:B222"/>
    <mergeCell ref="F222:H222"/>
    <mergeCell ref="A223:B223"/>
    <mergeCell ref="F223:H223"/>
    <mergeCell ref="A214:C214"/>
    <mergeCell ref="F214:H214"/>
    <mergeCell ref="A215:B215"/>
    <mergeCell ref="F215:H215"/>
    <mergeCell ref="A216:B216"/>
    <mergeCell ref="F216:H216"/>
    <mergeCell ref="A217:B217"/>
    <mergeCell ref="F217:H217"/>
    <mergeCell ref="A218:B218"/>
    <mergeCell ref="F218:H218"/>
    <mergeCell ref="A206:H206"/>
    <mergeCell ref="A209:H209"/>
    <mergeCell ref="A210:C210"/>
    <mergeCell ref="E210:H210"/>
    <mergeCell ref="A211:C211"/>
    <mergeCell ref="E211:H211"/>
    <mergeCell ref="A212:C212"/>
    <mergeCell ref="E212:H212"/>
    <mergeCell ref="A213:H213"/>
    <mergeCell ref="A200:B200"/>
    <mergeCell ref="F200:H200"/>
    <mergeCell ref="A201:B201"/>
    <mergeCell ref="F201:H201"/>
    <mergeCell ref="A202:B202"/>
    <mergeCell ref="F202:H202"/>
    <mergeCell ref="A203:H203"/>
    <mergeCell ref="A204:C204"/>
    <mergeCell ref="E204:H204"/>
    <mergeCell ref="A195:B195"/>
    <mergeCell ref="F195:H195"/>
    <mergeCell ref="A196:B196"/>
    <mergeCell ref="F196:H196"/>
    <mergeCell ref="A197:B197"/>
    <mergeCell ref="F197:H197"/>
    <mergeCell ref="A198:B198"/>
    <mergeCell ref="F198:H198"/>
    <mergeCell ref="A199:B199"/>
    <mergeCell ref="F199:H199"/>
    <mergeCell ref="A190:B190"/>
    <mergeCell ref="F190:H190"/>
    <mergeCell ref="A191:B191"/>
    <mergeCell ref="F191:H191"/>
    <mergeCell ref="A192:B192"/>
    <mergeCell ref="F192:H192"/>
    <mergeCell ref="A193:B193"/>
    <mergeCell ref="F193:H193"/>
    <mergeCell ref="A194:B194"/>
    <mergeCell ref="F194:H194"/>
    <mergeCell ref="A185:B185"/>
    <mergeCell ref="F185:H185"/>
    <mergeCell ref="A186:B186"/>
    <mergeCell ref="F186:H186"/>
    <mergeCell ref="A187:B187"/>
    <mergeCell ref="F187:H187"/>
    <mergeCell ref="A188:B188"/>
    <mergeCell ref="F188:H188"/>
    <mergeCell ref="A189:B189"/>
    <mergeCell ref="F189:H189"/>
    <mergeCell ref="A180:C180"/>
    <mergeCell ref="F180:H180"/>
    <mergeCell ref="A181:B181"/>
    <mergeCell ref="F181:H181"/>
    <mergeCell ref="A182:B182"/>
    <mergeCell ref="F182:H182"/>
    <mergeCell ref="A183:B183"/>
    <mergeCell ref="F183:H183"/>
    <mergeCell ref="A184:B184"/>
    <mergeCell ref="F184:H184"/>
    <mergeCell ref="A172:H172"/>
    <mergeCell ref="A175:H175"/>
    <mergeCell ref="A176:C176"/>
    <mergeCell ref="E176:H176"/>
    <mergeCell ref="A177:C177"/>
    <mergeCell ref="E177:H177"/>
    <mergeCell ref="A178:C178"/>
    <mergeCell ref="E178:H178"/>
    <mergeCell ref="A179:H179"/>
    <mergeCell ref="A167:B167"/>
    <mergeCell ref="F167:H167"/>
    <mergeCell ref="A168:B168"/>
    <mergeCell ref="F168:H168"/>
    <mergeCell ref="A164:B164"/>
    <mergeCell ref="F164:H164"/>
    <mergeCell ref="A165:B165"/>
    <mergeCell ref="F165:H165"/>
    <mergeCell ref="A166:B166"/>
    <mergeCell ref="F166:H166"/>
    <mergeCell ref="A161:B161"/>
    <mergeCell ref="F161:H161"/>
    <mergeCell ref="A162:B162"/>
    <mergeCell ref="F162:H162"/>
    <mergeCell ref="A163:B163"/>
    <mergeCell ref="F163:H163"/>
    <mergeCell ref="A158:B158"/>
    <mergeCell ref="F158:H158"/>
    <mergeCell ref="A159:B159"/>
    <mergeCell ref="F159:H159"/>
    <mergeCell ref="A160:B160"/>
    <mergeCell ref="F160:H160"/>
    <mergeCell ref="A155:B155"/>
    <mergeCell ref="F155:H155"/>
    <mergeCell ref="A156:B156"/>
    <mergeCell ref="F156:H156"/>
    <mergeCell ref="A157:B157"/>
    <mergeCell ref="F157:H157"/>
    <mergeCell ref="A152:B152"/>
    <mergeCell ref="F152:H152"/>
    <mergeCell ref="A153:B153"/>
    <mergeCell ref="F153:H153"/>
    <mergeCell ref="A154:B154"/>
    <mergeCell ref="F154:H154"/>
    <mergeCell ref="A145:H145"/>
    <mergeCell ref="A138:H138"/>
    <mergeCell ref="A141:H141"/>
    <mergeCell ref="A149:B149"/>
    <mergeCell ref="F149:H149"/>
    <mergeCell ref="A150:B150"/>
    <mergeCell ref="F150:H150"/>
    <mergeCell ref="A151:B151"/>
    <mergeCell ref="F151:H151"/>
    <mergeCell ref="A146:C146"/>
    <mergeCell ref="F146:H146"/>
    <mergeCell ref="A147:B147"/>
    <mergeCell ref="F147:H147"/>
    <mergeCell ref="A148:B148"/>
    <mergeCell ref="F148:H148"/>
    <mergeCell ref="A144:C144"/>
    <mergeCell ref="E144:H144"/>
    <mergeCell ref="A142:C142"/>
    <mergeCell ref="E142:H142"/>
    <mergeCell ref="A143:C143"/>
    <mergeCell ref="E143:H143"/>
    <mergeCell ref="A134:B134"/>
    <mergeCell ref="F134:H134"/>
    <mergeCell ref="A129:B129"/>
    <mergeCell ref="F129:H129"/>
    <mergeCell ref="A130:B130"/>
    <mergeCell ref="F130:H130"/>
    <mergeCell ref="A131:B131"/>
    <mergeCell ref="F131:H131"/>
    <mergeCell ref="A126:B126"/>
    <mergeCell ref="F126:H126"/>
    <mergeCell ref="A127:B127"/>
    <mergeCell ref="F127:H127"/>
    <mergeCell ref="A128:B128"/>
    <mergeCell ref="F128:H128"/>
    <mergeCell ref="A132:B132"/>
    <mergeCell ref="F132:H132"/>
    <mergeCell ref="A133:B133"/>
    <mergeCell ref="F133:H133"/>
    <mergeCell ref="A123:B123"/>
    <mergeCell ref="F122:H122"/>
    <mergeCell ref="A124:B124"/>
    <mergeCell ref="F124:H124"/>
    <mergeCell ref="A125:B125"/>
    <mergeCell ref="F125:H125"/>
    <mergeCell ref="A120:B120"/>
    <mergeCell ref="F120:H120"/>
    <mergeCell ref="A121:B121"/>
    <mergeCell ref="F121:H121"/>
    <mergeCell ref="A122:B122"/>
    <mergeCell ref="A117:B117"/>
    <mergeCell ref="F117:H117"/>
    <mergeCell ref="A118:B118"/>
    <mergeCell ref="F118:H118"/>
    <mergeCell ref="A119:B119"/>
    <mergeCell ref="F119:H119"/>
    <mergeCell ref="A114:B114"/>
    <mergeCell ref="F114:H114"/>
    <mergeCell ref="A115:B115"/>
    <mergeCell ref="F115:H115"/>
    <mergeCell ref="A116:B116"/>
    <mergeCell ref="F116:H116"/>
    <mergeCell ref="F100:H100"/>
    <mergeCell ref="A111:H111"/>
    <mergeCell ref="A112:C112"/>
    <mergeCell ref="F112:H112"/>
    <mergeCell ref="A113:B113"/>
    <mergeCell ref="F113:H113"/>
    <mergeCell ref="A104:H104"/>
    <mergeCell ref="A107:H107"/>
    <mergeCell ref="A108:C108"/>
    <mergeCell ref="E108:H108"/>
    <mergeCell ref="A109:C109"/>
    <mergeCell ref="E109:H109"/>
    <mergeCell ref="A110:C110"/>
    <mergeCell ref="E110:H110"/>
    <mergeCell ref="A93:B93"/>
    <mergeCell ref="F93:H93"/>
    <mergeCell ref="A90:B90"/>
    <mergeCell ref="F90:H90"/>
    <mergeCell ref="A94:B94"/>
    <mergeCell ref="F94:H94"/>
    <mergeCell ref="A101:H101"/>
    <mergeCell ref="A102:C102"/>
    <mergeCell ref="E102:H102"/>
    <mergeCell ref="A96:B96"/>
    <mergeCell ref="F96:H96"/>
    <mergeCell ref="A91:B91"/>
    <mergeCell ref="F91:H91"/>
    <mergeCell ref="A92:B92"/>
    <mergeCell ref="F92:H92"/>
    <mergeCell ref="A95:B95"/>
    <mergeCell ref="F95:H95"/>
    <mergeCell ref="A97:B97"/>
    <mergeCell ref="F97:H97"/>
    <mergeCell ref="A98:B98"/>
    <mergeCell ref="F98:H98"/>
    <mergeCell ref="A99:B99"/>
    <mergeCell ref="F99:H99"/>
    <mergeCell ref="A100:B100"/>
    <mergeCell ref="A87:B87"/>
    <mergeCell ref="F87:H87"/>
    <mergeCell ref="A88:B88"/>
    <mergeCell ref="F88:H88"/>
    <mergeCell ref="A89:B89"/>
    <mergeCell ref="F89:H89"/>
    <mergeCell ref="A84:B84"/>
    <mergeCell ref="F84:H84"/>
    <mergeCell ref="A85:B85"/>
    <mergeCell ref="F85:H85"/>
    <mergeCell ref="A86:B86"/>
    <mergeCell ref="F86:H86"/>
    <mergeCell ref="A79:B79"/>
    <mergeCell ref="F79:H79"/>
    <mergeCell ref="F81:H81"/>
    <mergeCell ref="A81:B81"/>
    <mergeCell ref="A82:B82"/>
    <mergeCell ref="F82:H82"/>
    <mergeCell ref="A83:B83"/>
    <mergeCell ref="F83:H83"/>
    <mergeCell ref="A80:B80"/>
    <mergeCell ref="F80:H80"/>
    <mergeCell ref="A75:C75"/>
    <mergeCell ref="E75:H75"/>
    <mergeCell ref="A77:H77"/>
    <mergeCell ref="A78:C78"/>
    <mergeCell ref="F78:H78"/>
    <mergeCell ref="A70:H70"/>
    <mergeCell ref="A73:H73"/>
    <mergeCell ref="A74:C74"/>
    <mergeCell ref="E74:H74"/>
    <mergeCell ref="A76:C76"/>
    <mergeCell ref="E76:H76"/>
    <mergeCell ref="A65:B65"/>
    <mergeCell ref="F65:H65"/>
    <mergeCell ref="A66:B66"/>
    <mergeCell ref="F66:H66"/>
    <mergeCell ref="A62:B62"/>
    <mergeCell ref="F62:H62"/>
    <mergeCell ref="A63:B63"/>
    <mergeCell ref="F63:H63"/>
    <mergeCell ref="A64:B64"/>
    <mergeCell ref="F64:H64"/>
    <mergeCell ref="A60:B60"/>
    <mergeCell ref="F60:H60"/>
    <mergeCell ref="A61:B61"/>
    <mergeCell ref="F61:H61"/>
    <mergeCell ref="A56:B56"/>
    <mergeCell ref="F56:H56"/>
    <mergeCell ref="A57:B57"/>
    <mergeCell ref="F57:H57"/>
    <mergeCell ref="A58:B58"/>
    <mergeCell ref="F58:H58"/>
    <mergeCell ref="A47:B47"/>
    <mergeCell ref="F47:H47"/>
    <mergeCell ref="F48:H48"/>
    <mergeCell ref="A49:B49"/>
    <mergeCell ref="F49:H49"/>
    <mergeCell ref="A44:C44"/>
    <mergeCell ref="F44:H44"/>
    <mergeCell ref="A45:B45"/>
    <mergeCell ref="F45:H45"/>
    <mergeCell ref="A46:B46"/>
    <mergeCell ref="F46:H46"/>
    <mergeCell ref="A40:C40"/>
    <mergeCell ref="E40:H40"/>
    <mergeCell ref="A41:C41"/>
    <mergeCell ref="E41:H41"/>
    <mergeCell ref="A43:H43"/>
    <mergeCell ref="I2:J2"/>
    <mergeCell ref="I3:J3"/>
    <mergeCell ref="I4:J4"/>
    <mergeCell ref="A36:H36"/>
    <mergeCell ref="A39:H39"/>
    <mergeCell ref="A2:H2"/>
    <mergeCell ref="A5:H5"/>
    <mergeCell ref="E6:H6"/>
    <mergeCell ref="A9:H9"/>
    <mergeCell ref="A24:B24"/>
    <mergeCell ref="A26:B26"/>
    <mergeCell ref="A30:B30"/>
    <mergeCell ref="A31:B31"/>
    <mergeCell ref="A32:B32"/>
    <mergeCell ref="A8:C8"/>
    <mergeCell ref="E8:H8"/>
    <mergeCell ref="A42:C42"/>
    <mergeCell ref="E42:H42"/>
    <mergeCell ref="A6:C6"/>
    <mergeCell ref="A7:C7"/>
    <mergeCell ref="E7:H7"/>
    <mergeCell ref="A10:C10"/>
    <mergeCell ref="A27:B27"/>
    <mergeCell ref="F26:H26"/>
    <mergeCell ref="F24:H24"/>
    <mergeCell ref="F23:H23"/>
    <mergeCell ref="F22:H22"/>
    <mergeCell ref="F13:H13"/>
    <mergeCell ref="F12:H12"/>
    <mergeCell ref="F11:H11"/>
    <mergeCell ref="A22:B22"/>
    <mergeCell ref="A23:B23"/>
    <mergeCell ref="A19:B19"/>
    <mergeCell ref="A16:B16"/>
    <mergeCell ref="A17:B17"/>
    <mergeCell ref="A18:B18"/>
    <mergeCell ref="F10:H10"/>
    <mergeCell ref="F14:H14"/>
    <mergeCell ref="A11:B11"/>
    <mergeCell ref="A12:B12"/>
    <mergeCell ref="A13:B13"/>
    <mergeCell ref="A14:B14"/>
    <mergeCell ref="A15:B15"/>
    <mergeCell ref="F16:H16"/>
    <mergeCell ref="F15:H15"/>
    <mergeCell ref="A29:B29"/>
    <mergeCell ref="A33:H33"/>
    <mergeCell ref="A34:C34"/>
    <mergeCell ref="E34:H34"/>
    <mergeCell ref="F32:H32"/>
    <mergeCell ref="F31:H31"/>
    <mergeCell ref="F30:H30"/>
    <mergeCell ref="A25:B25"/>
    <mergeCell ref="F25:H25"/>
    <mergeCell ref="F21:H21"/>
    <mergeCell ref="F18:H18"/>
    <mergeCell ref="F17:H17"/>
    <mergeCell ref="A28:B28"/>
    <mergeCell ref="F20:H20"/>
    <mergeCell ref="F19:H19"/>
    <mergeCell ref="A21:B21"/>
    <mergeCell ref="A20:B20"/>
    <mergeCell ref="F29:H29"/>
    <mergeCell ref="F28:H28"/>
    <mergeCell ref="F27:H27"/>
    <mergeCell ref="A135:H135"/>
    <mergeCell ref="A136:C136"/>
    <mergeCell ref="E136:H136"/>
    <mergeCell ref="A169:H169"/>
    <mergeCell ref="A170:C170"/>
    <mergeCell ref="E170:H170"/>
    <mergeCell ref="A48:B48"/>
    <mergeCell ref="A67:H67"/>
    <mergeCell ref="A68:C68"/>
    <mergeCell ref="E68:H68"/>
    <mergeCell ref="A53:B53"/>
    <mergeCell ref="F53:H53"/>
    <mergeCell ref="A54:B54"/>
    <mergeCell ref="F54:H54"/>
    <mergeCell ref="A55:B55"/>
    <mergeCell ref="F55:H55"/>
    <mergeCell ref="A50:B50"/>
    <mergeCell ref="F50:H50"/>
    <mergeCell ref="A51:B51"/>
    <mergeCell ref="F51:H51"/>
    <mergeCell ref="A52:B52"/>
    <mergeCell ref="F52:H52"/>
    <mergeCell ref="A59:B59"/>
    <mergeCell ref="F59:H59"/>
  </mergeCells>
  <dataValidations count="4">
    <dataValidation type="list" showInputMessage="1" showErrorMessage="1" promptTitle="Choose Area" sqref="A38 A106 A140 A72 A4 A174 A208 A242 A276 A310" xr:uid="{00000000-0002-0000-1900-000001000000}">
      <formula1>CatchNo</formula1>
    </dataValidation>
    <dataValidation type="list" showInputMessage="1" showErrorMessage="1" promptTitle="Yes or No?" sqref="D42 D144 D76 D110 D8 D178 D212 D246 D280 D314" xr:uid="{BD85EE7B-3483-4FC8-B937-5F385C57F006}">
      <formula1>YesNo</formula1>
    </dataValidation>
    <dataValidation type="decimal" operator="greaterThan" allowBlank="1" showInputMessage="1" showErrorMessage="1" sqref="D11:D14 D19 D21:D23 D26 D32 D45:D48 D53 D55:D57 D60 D66 D79:D82 D87 D89:D91 D94 D100 D113:D116 D121 D123:D125 D128 D134 D147:D150 D155 D157:D159 D162 D168 D181:D184 D189 D191:D193 D196 D202 D215:D218 D223 D225:D227 D230 D236 D249:D252 D257 D259:D261 D264 D270 D283:D286 D291 D293:D295 D298 D304 D317:D320 D325 D327:D329 D332 D338" xr:uid="{F5312A74-D798-443F-832C-37CA9B8A8B96}">
      <formula1>0</formula1>
    </dataValidation>
    <dataValidation type="decimal" allowBlank="1" showInputMessage="1" showErrorMessage="1" sqref="D30 D64 D98 D132 D166 D200 D234 D268 D302 D336" xr:uid="{2D400186-6B0F-421D-8030-6F15C07A43C2}">
      <formula1>0.03</formula1>
      <formula2>0.15</formula2>
    </dataValidation>
  </dataValidations>
  <pageMargins left="0.5" right="0.5" top="0.75" bottom="0.5" header="0.3" footer="0.3"/>
  <pageSetup paperSize="278" orientation="portrait" r:id="rId1"/>
  <headerFooter>
    <oddHeader>&amp;C&amp;"Arial,Regular"&amp;18&amp;K000000Vegetated Swale (RR-5)</oddHeader>
  </headerFooter>
  <rowBreaks count="10" manualBreakCount="10">
    <brk id="34" max="16383" man="1"/>
    <brk id="68" max="16383" man="1"/>
    <brk id="102" max="16383" man="1"/>
    <brk id="136" max="16383" man="1"/>
    <brk id="170" max="16383" man="1"/>
    <brk id="204" max="16383" man="1"/>
    <brk id="238" max="16383" man="1"/>
    <brk id="272" max="16383" man="1"/>
    <brk id="306" max="16383" man="1"/>
    <brk id="34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1D9751D-D897-4C99-8B1B-7EC39436022B}">
          <x14:formula1>
            <xm:f>Reference!$A$12:$A$17</xm:f>
          </x14:formula1>
          <xm:sqref>D40 D108 D142 D74 D6 D176 D210 D244 D278 D312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207FC-51D9-4C7B-A6D3-8B0984AFB863}">
  <dimension ref="A1:P280"/>
  <sheetViews>
    <sheetView view="pageLayout" zoomScaleNormal="100" workbookViewId="0">
      <selection activeCell="O8" sqref="O8"/>
    </sheetView>
  </sheetViews>
  <sheetFormatPr defaultColWidth="9.1796875" defaultRowHeight="12.5" x14ac:dyDescent="0.25"/>
  <cols>
    <col min="1" max="2" width="12.7265625" style="4" customWidth="1"/>
    <col min="3" max="3" width="11.453125" style="4" customWidth="1"/>
    <col min="4" max="4" width="10.81640625" style="4" customWidth="1"/>
    <col min="5" max="5" width="6.453125" style="4" customWidth="1"/>
    <col min="6" max="6" width="8.54296875" style="4" customWidth="1"/>
    <col min="7" max="7" width="12.54296875" style="4" customWidth="1"/>
    <col min="8" max="8" width="16.1796875" style="4" customWidth="1"/>
    <col min="9" max="9" width="14" style="4" customWidth="1"/>
    <col min="10" max="13" width="9.1796875" style="4" hidden="1" customWidth="1"/>
    <col min="14" max="14" width="12.1796875" style="4" bestFit="1" customWidth="1"/>
    <col min="15" max="16384" width="9.1796875" style="4"/>
  </cols>
  <sheetData>
    <row r="1" spans="1:16" s="34" customFormat="1" ht="15" customHeight="1" x14ac:dyDescent="0.3">
      <c r="A1" s="24" t="s">
        <v>56</v>
      </c>
      <c r="B1" s="23" t="str">
        <f>IF('STEP 2-WQv Calculation'!$B$4="","",'STEP 2-WQv Calculation'!$B$4)</f>
        <v/>
      </c>
      <c r="C1" s="31"/>
      <c r="D1" s="31"/>
      <c r="E1" s="32"/>
      <c r="F1" s="33"/>
      <c r="G1" s="33"/>
      <c r="H1" s="33"/>
    </row>
    <row r="2" spans="1:16" ht="15" customHeight="1" x14ac:dyDescent="0.25">
      <c r="A2" s="331" t="s">
        <v>293</v>
      </c>
      <c r="B2" s="332"/>
      <c r="C2" s="332"/>
      <c r="D2" s="332"/>
      <c r="E2" s="332"/>
      <c r="F2" s="332"/>
      <c r="G2" s="332"/>
      <c r="H2" s="333"/>
      <c r="I2" s="255" t="s">
        <v>219</v>
      </c>
      <c r="J2" s="256"/>
      <c r="K2" s="255" t="s">
        <v>219</v>
      </c>
      <c r="L2" s="256"/>
      <c r="N2" s="49">
        <f>SUM(B4,B32,B60,B88,B116,B144,B172,B200,B228,B256)</f>
        <v>0</v>
      </c>
      <c r="O2" s="12" t="s">
        <v>223</v>
      </c>
    </row>
    <row r="3" spans="1:16" s="34" customFormat="1" ht="46.75" customHeight="1" x14ac:dyDescent="0.3">
      <c r="A3" s="204" t="s">
        <v>60</v>
      </c>
      <c r="B3" s="205" t="s">
        <v>61</v>
      </c>
      <c r="C3" s="205" t="s">
        <v>62</v>
      </c>
      <c r="D3" s="205" t="s">
        <v>63</v>
      </c>
      <c r="E3" s="205" t="s">
        <v>64</v>
      </c>
      <c r="F3" s="205" t="s">
        <v>65</v>
      </c>
      <c r="G3" s="205" t="s">
        <v>244</v>
      </c>
      <c r="H3" s="206" t="s">
        <v>13</v>
      </c>
      <c r="I3" s="255" t="s">
        <v>245</v>
      </c>
      <c r="J3" s="256"/>
      <c r="K3" s="255" t="s">
        <v>245</v>
      </c>
      <c r="L3" s="256"/>
      <c r="M3" s="4"/>
      <c r="N3" s="21">
        <f>SUM(C4,C32,C60,C88,C116,C144,C172,C200,C228,C256)</f>
        <v>0</v>
      </c>
      <c r="O3" s="12" t="s">
        <v>223</v>
      </c>
      <c r="P3" s="4"/>
    </row>
    <row r="4" spans="1:16" ht="30.2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55" t="s">
        <v>227</v>
      </c>
      <c r="L4" s="256"/>
      <c r="N4" s="28">
        <f>SUM(C28,C56,C84,C112,C140,C168,C196,C224,C252,C280)</f>
        <v>0</v>
      </c>
      <c r="O4" s="12" t="s">
        <v>2</v>
      </c>
    </row>
    <row r="5" spans="1:16" s="1" customFormat="1" ht="28.15" customHeight="1" x14ac:dyDescent="0.35">
      <c r="A5" s="322" t="s">
        <v>373</v>
      </c>
      <c r="B5" s="323"/>
      <c r="C5" s="324"/>
      <c r="D5" s="364"/>
      <c r="E5" s="365"/>
      <c r="F5" s="365"/>
      <c r="G5" s="365"/>
      <c r="H5" s="366"/>
      <c r="I5" s="4"/>
    </row>
    <row r="6" spans="1:16" s="1" customFormat="1" ht="15" customHeight="1" x14ac:dyDescent="0.35">
      <c r="A6" s="273" t="s">
        <v>226</v>
      </c>
      <c r="B6" s="273"/>
      <c r="C6" s="273"/>
      <c r="D6" s="273"/>
      <c r="E6" s="273"/>
      <c r="F6" s="273"/>
      <c r="G6" s="273"/>
      <c r="H6" s="273"/>
      <c r="I6" s="4"/>
    </row>
    <row r="7" spans="1:16" s="1" customFormat="1" ht="30" customHeight="1" x14ac:dyDescent="0.35">
      <c r="A7" s="242" t="s">
        <v>295</v>
      </c>
      <c r="B7" s="243"/>
      <c r="C7" s="244"/>
      <c r="D7" s="44"/>
      <c r="E7" s="322" t="str">
        <f>IF(D7="","",IF(AND(D5="Filtration Rain Garden",D7&lt;0.5),"Underdrain required",IF(AND(D5="Infiltration Rain Garden",D7&lt;0.5),"Does not meet design criteria. Design as Filtration Rain Garden","")))</f>
        <v/>
      </c>
      <c r="F7" s="323"/>
      <c r="G7" s="323"/>
      <c r="H7" s="324"/>
      <c r="I7" s="4"/>
    </row>
    <row r="8" spans="1:16" s="1" customFormat="1" ht="26.5" customHeight="1" x14ac:dyDescent="0.35">
      <c r="A8" s="245" t="s">
        <v>247</v>
      </c>
      <c r="B8" s="245"/>
      <c r="C8" s="245"/>
      <c r="D8" s="211"/>
      <c r="E8" s="322" t="str">
        <f>IF(D8="","This practice cannot be used for hotspot treatment",IF(D8="Yes","Does not meet design criteria",""))</f>
        <v>This practice cannot be used for hotspot treatment</v>
      </c>
      <c r="F8" s="323"/>
      <c r="G8" s="323"/>
      <c r="H8" s="324"/>
      <c r="I8" s="4"/>
    </row>
    <row r="9" spans="1:16" s="1" customFormat="1" ht="15" customHeight="1" x14ac:dyDescent="0.35">
      <c r="A9" s="242" t="s">
        <v>374</v>
      </c>
      <c r="B9" s="243"/>
      <c r="C9" s="244"/>
      <c r="D9" s="43"/>
      <c r="E9" s="322" t="str">
        <f>IF(D9&gt;5,"Does not meet design criteria","")</f>
        <v/>
      </c>
      <c r="F9" s="323"/>
      <c r="G9" s="323"/>
      <c r="H9" s="324"/>
      <c r="I9" s="4"/>
    </row>
    <row r="10" spans="1:16" s="1" customFormat="1" ht="15" customHeight="1" x14ac:dyDescent="0.35">
      <c r="A10" s="242" t="s">
        <v>375</v>
      </c>
      <c r="B10" s="243"/>
      <c r="C10" s="244"/>
      <c r="D10" s="227" t="e">
        <f>IF((B4*43560)&gt;1000,"Yes","No")</f>
        <v>#VALUE!</v>
      </c>
      <c r="E10" s="322" t="str">
        <f>IF(F4="","",IF(D10="","",IF(D10="Yes","Does not meet design criteria","")))</f>
        <v/>
      </c>
      <c r="F10" s="323"/>
      <c r="G10" s="323"/>
      <c r="H10" s="324"/>
      <c r="I10" s="4"/>
    </row>
    <row r="11" spans="1:16" s="1" customFormat="1" ht="31.15" customHeight="1" x14ac:dyDescent="0.35">
      <c r="A11" s="242" t="s">
        <v>376</v>
      </c>
      <c r="B11" s="243"/>
      <c r="C11" s="244"/>
      <c r="D11" s="43"/>
      <c r="E11" s="322" t="str">
        <f>IF(D11&gt;30,"Does not meet design criteria","")</f>
        <v/>
      </c>
      <c r="F11" s="323"/>
      <c r="G11" s="323"/>
      <c r="H11" s="324"/>
      <c r="I11" s="4"/>
    </row>
    <row r="12" spans="1:16" s="1" customFormat="1" ht="26.5" customHeight="1" x14ac:dyDescent="0.35">
      <c r="A12" s="245" t="s">
        <v>377</v>
      </c>
      <c r="B12" s="245"/>
      <c r="C12" s="245"/>
      <c r="D12" s="211"/>
      <c r="E12" s="322" t="str">
        <f>IF(D12="Yes","Does not meet design criteria","")</f>
        <v/>
      </c>
      <c r="F12" s="323"/>
      <c r="G12" s="323"/>
      <c r="H12" s="324"/>
      <c r="I12" s="4"/>
    </row>
    <row r="13" spans="1:16" s="1" customFormat="1" ht="30.65" customHeight="1" x14ac:dyDescent="0.35">
      <c r="A13" s="242" t="s">
        <v>713</v>
      </c>
      <c r="B13" s="243"/>
      <c r="C13" s="244"/>
      <c r="D13" s="43"/>
      <c r="E13" s="322" t="str">
        <f>IF(D13="","",IF(AND(D5="Infiltration Rain Garden",D13&lt;2),"Does not meet design criteria. Design as Filtration Rain Garden",IF(AND(D5="Filtration Rain Garden",D13&lt;2),"Impermeable liner required","")))</f>
        <v/>
      </c>
      <c r="F13" s="323"/>
      <c r="G13" s="323"/>
      <c r="H13" s="324"/>
      <c r="I13" s="4"/>
    </row>
    <row r="14" spans="1:16" s="1" customFormat="1" ht="30.65" customHeight="1" x14ac:dyDescent="0.35">
      <c r="A14" s="242" t="s">
        <v>297</v>
      </c>
      <c r="B14" s="243"/>
      <c r="C14" s="244"/>
      <c r="D14" s="43"/>
      <c r="E14" s="322" t="str">
        <f>IF(D14="","",IF(AND(D5="Infiltration Rain Garden",D14&lt;2),"Does not meet design criteria. Design as Filtration Rain Garden",IF(AND(D5="Filtration Rain Garden",D14&lt;2),"Impermeable liner required","")))</f>
        <v/>
      </c>
      <c r="F14" s="323"/>
      <c r="G14" s="323"/>
      <c r="H14" s="324"/>
      <c r="I14" s="4"/>
    </row>
    <row r="15" spans="1:16" s="1" customFormat="1" ht="15" customHeight="1" x14ac:dyDescent="0.35">
      <c r="A15" s="242" t="s">
        <v>378</v>
      </c>
      <c r="B15" s="243"/>
      <c r="C15" s="244"/>
      <c r="D15" s="43"/>
      <c r="E15" s="322" t="str">
        <f>IF(D15="","",IF(D15&lt;3,"Does not meet design criteria",""))</f>
        <v/>
      </c>
      <c r="F15" s="323"/>
      <c r="G15" s="323"/>
      <c r="H15" s="324"/>
      <c r="I15" s="4"/>
    </row>
    <row r="16" spans="1:16" s="1" customFormat="1" ht="15.65" customHeight="1" x14ac:dyDescent="0.35">
      <c r="A16" s="242" t="s">
        <v>300</v>
      </c>
      <c r="B16" s="243"/>
      <c r="C16" s="244"/>
      <c r="D16" s="43"/>
      <c r="E16" s="322" t="str">
        <f>IF(D16="","",IF(AND(D5="Filtration Rain Garden",D16&lt;10),"Does not meet design criteria",IF(AND(D5="Infiltration Rain Garden",D16&lt;6),"Does not meet design criteria","")))</f>
        <v/>
      </c>
      <c r="F16" s="323"/>
      <c r="G16" s="323"/>
      <c r="H16" s="324"/>
      <c r="I16" s="4"/>
    </row>
    <row r="17" spans="1:16" ht="15" customHeight="1" x14ac:dyDescent="0.25">
      <c r="A17" s="236" t="s">
        <v>232</v>
      </c>
      <c r="B17" s="237"/>
      <c r="C17" s="237"/>
      <c r="D17" s="237"/>
      <c r="E17" s="237"/>
      <c r="F17" s="237"/>
      <c r="G17" s="237"/>
      <c r="H17" s="238"/>
    </row>
    <row r="18" spans="1:16" s="34" customFormat="1" ht="15" customHeight="1" x14ac:dyDescent="0.3">
      <c r="A18" s="35"/>
      <c r="B18" s="36"/>
      <c r="C18" s="36"/>
      <c r="D18" s="37"/>
      <c r="E18" s="302" t="s">
        <v>256</v>
      </c>
      <c r="F18" s="302"/>
      <c r="G18" s="38" t="s">
        <v>257</v>
      </c>
      <c r="H18" s="38" t="s">
        <v>258</v>
      </c>
      <c r="I18" s="4"/>
      <c r="J18" s="4"/>
      <c r="K18" s="4"/>
      <c r="L18" s="4"/>
      <c r="M18" s="4"/>
      <c r="N18" s="4"/>
      <c r="O18" s="4"/>
      <c r="P18" s="4"/>
    </row>
    <row r="19" spans="1:16" ht="15" customHeight="1" x14ac:dyDescent="0.25">
      <c r="A19" s="289" t="s">
        <v>302</v>
      </c>
      <c r="B19" s="289"/>
      <c r="C19" s="289"/>
      <c r="D19" s="198" t="s">
        <v>303</v>
      </c>
      <c r="E19" s="334" t="str">
        <f>F4</f>
        <v/>
      </c>
      <c r="F19" s="334"/>
      <c r="G19" s="193" t="s">
        <v>2</v>
      </c>
      <c r="H19" s="219"/>
    </row>
    <row r="20" spans="1:16" ht="29.5" customHeight="1" x14ac:dyDescent="0.25">
      <c r="A20" s="289" t="s">
        <v>379</v>
      </c>
      <c r="B20" s="289"/>
      <c r="C20" s="289"/>
      <c r="D20" s="198" t="s">
        <v>305</v>
      </c>
      <c r="E20" s="336"/>
      <c r="F20" s="336"/>
      <c r="G20" s="193" t="s">
        <v>271</v>
      </c>
      <c r="H20" s="219" t="str">
        <f>IF(E20="","",IF(AND(D5="Filtration Rain Garden",E20&lt;1.5),"Does not meet design criteria",IF(AND(D5="Filtration Rain Garden",E20&gt;2),"Does not meet design criteria",IF(AND(D5="Infiltration Rain Garden",E20&lt;1),"Does not meet design criteria",IF(AND(D5="Infiltration Rain Garden",E20&gt;1.5),"Does not meet design criteria","")))))</f>
        <v/>
      </c>
    </row>
    <row r="21" spans="1:16" ht="15" customHeight="1" x14ac:dyDescent="0.25">
      <c r="A21" s="266" t="s">
        <v>380</v>
      </c>
      <c r="B21" s="267"/>
      <c r="C21" s="268"/>
      <c r="D21" s="198" t="s">
        <v>307</v>
      </c>
      <c r="E21" s="289">
        <v>1</v>
      </c>
      <c r="F21" s="289"/>
      <c r="G21" s="193" t="s">
        <v>308</v>
      </c>
      <c r="H21" s="219"/>
    </row>
    <row r="22" spans="1:16" ht="30" customHeight="1" x14ac:dyDescent="0.25">
      <c r="A22" s="289" t="s">
        <v>309</v>
      </c>
      <c r="B22" s="289"/>
      <c r="C22" s="289"/>
      <c r="D22" s="198" t="s">
        <v>310</v>
      </c>
      <c r="E22" s="336"/>
      <c r="F22" s="336"/>
      <c r="G22" s="193" t="s">
        <v>271</v>
      </c>
      <c r="H22" s="219" t="str">
        <f>IF(E22&gt;0.5,"Does not meet design criteia","")</f>
        <v/>
      </c>
    </row>
    <row r="23" spans="1:16" ht="15" customHeight="1" x14ac:dyDescent="0.25">
      <c r="A23" s="289" t="s">
        <v>311</v>
      </c>
      <c r="B23" s="289"/>
      <c r="C23" s="289"/>
      <c r="D23" s="198" t="s">
        <v>312</v>
      </c>
      <c r="E23" s="289">
        <v>2</v>
      </c>
      <c r="F23" s="289"/>
      <c r="G23" s="193" t="s">
        <v>313</v>
      </c>
      <c r="H23" s="219"/>
    </row>
    <row r="24" spans="1:16" ht="15" customHeight="1" x14ac:dyDescent="0.25">
      <c r="A24" s="266" t="s">
        <v>381</v>
      </c>
      <c r="B24" s="267"/>
      <c r="C24" s="268"/>
      <c r="D24" s="198" t="s">
        <v>315</v>
      </c>
      <c r="E24" s="308" t="e">
        <f>(E19*E20)/(E21*(E22+E20)*E23)</f>
        <v>#VALUE!</v>
      </c>
      <c r="F24" s="308"/>
      <c r="G24" s="193" t="s">
        <v>316</v>
      </c>
      <c r="H24" s="219"/>
    </row>
    <row r="25" spans="1:16" ht="30" customHeight="1" x14ac:dyDescent="0.25">
      <c r="A25" s="266" t="s">
        <v>382</v>
      </c>
      <c r="B25" s="267"/>
      <c r="C25" s="268"/>
      <c r="D25" s="198" t="s">
        <v>315</v>
      </c>
      <c r="E25" s="336"/>
      <c r="F25" s="336"/>
      <c r="G25" s="193" t="s">
        <v>316</v>
      </c>
      <c r="H25" s="219" t="str">
        <f>IF(E25="","",IF(E24&gt;E25,"Does not meet sizing criteria",""))</f>
        <v/>
      </c>
    </row>
    <row r="26" spans="1:16" ht="30" customHeight="1" x14ac:dyDescent="0.25">
      <c r="A26" s="266" t="s">
        <v>383</v>
      </c>
      <c r="B26" s="267"/>
      <c r="C26" s="268"/>
      <c r="D26" s="198" t="s">
        <v>384</v>
      </c>
      <c r="E26" s="367" t="str">
        <f>IF(E25="","",(E25*(E21*(E22+E20)*E23))/E20)</f>
        <v/>
      </c>
      <c r="F26" s="368"/>
      <c r="G26" s="193" t="s">
        <v>2</v>
      </c>
      <c r="H26" s="219"/>
    </row>
    <row r="27" spans="1:16" ht="15" customHeight="1" x14ac:dyDescent="0.25">
      <c r="A27" s="236" t="s">
        <v>276</v>
      </c>
      <c r="B27" s="237"/>
      <c r="C27" s="237"/>
      <c r="D27" s="237"/>
      <c r="E27" s="237"/>
      <c r="F27" s="237"/>
      <c r="G27" s="237"/>
      <c r="H27" s="238"/>
    </row>
    <row r="28" spans="1:16" s="34" customFormat="1" ht="30.25" customHeight="1" x14ac:dyDescent="0.3">
      <c r="A28" s="335" t="s">
        <v>241</v>
      </c>
      <c r="B28" s="335"/>
      <c r="C28" s="9" t="str">
        <f>IF(A4="","",IF(D8="Yes",0,IF(B4="",0,IF(AND(D5="Infiltration Rain Garden",D7&lt;0.5),0,IF(D9&gt;5,0,IF(D10="Yes",0,IF(D11&gt;30,0,IF(D12="Yes",0,IF(AND(D5="Infiltration Rain Garden",D13&lt;2),0,IF(AND(D5="Infiltration Rain Garden",D14&lt;2),0,IF(D15&lt;3,0,IF(AND(D5="Filtration Rain Garden",D16&lt;10),0,IF(AND(D5="Infiltration Rain Garden",D16&lt;6),0,IF(AND(D5="Filtration Rain Garden",E20&lt;1.5),0,IF(AND(D5="Filtration Rain Garden",E20&gt;2),0,IF(AND(D5="Infiltration Rain Garden",E20&lt;1),0,IF(AND(D5="Infiltration Rain Garden",E20&gt;1.5),0,IF(E22&gt;0.5,0,IF(E25&lt;E24,0,IF(AND(D5="Filtration Rain Garden",(E26*0.4)&lt;=F4),(E26*0.4),IF(AND(D5="Filtration Rain Garden",(E26*0.4)&gt;F4),F4,IF(D5="Infiltration Rain Garden",F4*1))))))))))))))))))))))</f>
        <v/>
      </c>
      <c r="D28" s="310" t="s">
        <v>2</v>
      </c>
      <c r="E28" s="311"/>
      <c r="F28" s="311"/>
      <c r="G28" s="311"/>
      <c r="H28" s="312"/>
      <c r="I28" s="4"/>
      <c r="J28" s="4"/>
      <c r="K28" s="4"/>
      <c r="L28" s="4"/>
      <c r="M28" s="4"/>
      <c r="N28" s="4"/>
      <c r="O28" s="4"/>
      <c r="P28" s="4"/>
    </row>
    <row r="29" spans="1:16" ht="13" x14ac:dyDescent="0.3">
      <c r="A29" s="24" t="s">
        <v>56</v>
      </c>
      <c r="B29" s="23" t="str">
        <f>IF('STEP 2-WQv Calculation'!$B$4="","",'STEP 2-WQv Calculation'!$B$4)</f>
        <v/>
      </c>
      <c r="C29" s="31"/>
      <c r="D29" s="31"/>
      <c r="E29" s="32"/>
      <c r="F29" s="33"/>
      <c r="G29" s="33"/>
      <c r="H29" s="33"/>
    </row>
    <row r="30" spans="1:16" ht="13.15" customHeight="1" x14ac:dyDescent="0.25">
      <c r="A30" s="331" t="s">
        <v>293</v>
      </c>
      <c r="B30" s="332"/>
      <c r="C30" s="332"/>
      <c r="D30" s="332"/>
      <c r="E30" s="332"/>
      <c r="F30" s="332"/>
      <c r="G30" s="332"/>
      <c r="H30" s="333"/>
    </row>
    <row r="31" spans="1:16" ht="38.5" x14ac:dyDescent="0.25">
      <c r="A31" s="204" t="s">
        <v>60</v>
      </c>
      <c r="B31" s="205" t="s">
        <v>61</v>
      </c>
      <c r="C31" s="205" t="s">
        <v>62</v>
      </c>
      <c r="D31" s="205" t="s">
        <v>63</v>
      </c>
      <c r="E31" s="205" t="s">
        <v>64</v>
      </c>
      <c r="F31" s="205" t="s">
        <v>65</v>
      </c>
      <c r="G31" s="205" t="s">
        <v>244</v>
      </c>
      <c r="H31" s="206" t="s">
        <v>13</v>
      </c>
    </row>
    <row r="32" spans="1:16" x14ac:dyDescent="0.25">
      <c r="A32" s="17"/>
      <c r="B32" s="18" t="str">
        <f>IF($A32="","",(LOOKUP($A32,'STEP 2-WQv Calculation'!$A$8:$A$37,'STEP 2-WQv Calculation'!$B$8:$B$37)))</f>
        <v/>
      </c>
      <c r="C32" s="18" t="str">
        <f>IF($A32="","",(LOOKUP($A32,'STEP 2-WQv Calculation'!$A$8:$A$37,'STEP 2-WQv Calculation'!$C$8:$C$37)))</f>
        <v/>
      </c>
      <c r="D32" s="53" t="str">
        <f>IF($A32="","",(LOOKUP($A32,'STEP 2-WQv Calculation'!$A$8:$A$37,'STEP 2-WQv Calculation'!$D$8:$D$37)))</f>
        <v/>
      </c>
      <c r="E32" s="18" t="str">
        <f>IF($A32="","",(LOOKUP($A32,'STEP 2-WQv Calculation'!$A$8:$A$37,'STEP 2-WQv Calculation'!$E$8:$E$37)))</f>
        <v/>
      </c>
      <c r="F32" s="42" t="str">
        <f>IF($A32="","",(LOOKUP($A32,'STEP 2-WQv Calculation'!$A$8:$A$37,'STEP 2-WQv Calculation'!$F$8:$F$37)))</f>
        <v/>
      </c>
      <c r="G32" s="18">
        <f>'STEP 2-WQv Calculation'!B5</f>
        <v>0</v>
      </c>
      <c r="H32" s="29" t="str">
        <f>IF($A32="","",(LOOKUP($A32,'STEP 2-WQv Calculation'!$A$8:$A$37,'STEP 2-WQv Calculation'!$G$8:$G$37)))</f>
        <v/>
      </c>
    </row>
    <row r="33" spans="1:9" ht="13.15" customHeight="1" x14ac:dyDescent="0.25">
      <c r="A33" s="242" t="s">
        <v>373</v>
      </c>
      <c r="B33" s="243"/>
      <c r="C33" s="244"/>
      <c r="D33" s="364" t="s">
        <v>385</v>
      </c>
      <c r="E33" s="365"/>
      <c r="F33" s="365"/>
      <c r="G33" s="365"/>
      <c r="H33" s="366"/>
    </row>
    <row r="34" spans="1:9" ht="13.15" customHeight="1" x14ac:dyDescent="0.3">
      <c r="A34" s="273" t="s">
        <v>226</v>
      </c>
      <c r="B34" s="273"/>
      <c r="C34" s="273"/>
      <c r="D34" s="273"/>
      <c r="E34" s="273"/>
      <c r="F34" s="273"/>
      <c r="G34" s="273"/>
      <c r="H34" s="273"/>
    </row>
    <row r="35" spans="1:9" ht="29.25" customHeight="1" x14ac:dyDescent="0.25">
      <c r="A35" s="242" t="s">
        <v>295</v>
      </c>
      <c r="B35" s="243"/>
      <c r="C35" s="244"/>
      <c r="D35" s="44"/>
      <c r="E35" s="322" t="str">
        <f>IF(D35="","",IF(AND(D33="Filtration Rain Garden",D35&lt;0.5),"Underdrain required",IF(AND(D33="Infiltration Rain Garden",D35&lt;0.5),"Does not meet design criteria. Design as Filtration Rain Garden","")))</f>
        <v/>
      </c>
      <c r="F35" s="323"/>
      <c r="G35" s="323"/>
      <c r="H35" s="324"/>
    </row>
    <row r="36" spans="1:9" s="1" customFormat="1" ht="14.5" x14ac:dyDescent="0.35">
      <c r="A36" s="245" t="s">
        <v>247</v>
      </c>
      <c r="B36" s="245"/>
      <c r="C36" s="245"/>
      <c r="D36" s="211"/>
      <c r="E36" s="322" t="str">
        <f>IF(D36="","This practice cannot be used for hotspot treatment",IF(D36="Yes","Does not meet design criteria",""))</f>
        <v>This practice cannot be used for hotspot treatment</v>
      </c>
      <c r="F36" s="323"/>
      <c r="G36" s="323"/>
      <c r="H36" s="324"/>
      <c r="I36" s="4"/>
    </row>
    <row r="37" spans="1:9" ht="13.15" customHeight="1" x14ac:dyDescent="0.25">
      <c r="A37" s="242" t="s">
        <v>374</v>
      </c>
      <c r="B37" s="243"/>
      <c r="C37" s="244"/>
      <c r="D37" s="43"/>
      <c r="E37" s="322" t="str">
        <f>IF(D37&gt;5,"Does not meet design criteria","")</f>
        <v/>
      </c>
      <c r="F37" s="323"/>
      <c r="G37" s="323"/>
      <c r="H37" s="324"/>
    </row>
    <row r="38" spans="1:9" ht="13.15" customHeight="1" x14ac:dyDescent="0.25">
      <c r="A38" s="242" t="s">
        <v>375</v>
      </c>
      <c r="B38" s="243"/>
      <c r="C38" s="244"/>
      <c r="D38" s="227" t="e">
        <f>IF((B32*43560)&gt;1000,"Yes","No")</f>
        <v>#VALUE!</v>
      </c>
      <c r="E38" s="322" t="str">
        <f>IF(F32="","",IF(D38="","",IF(D38="Yes","Does not meet design criteria","")))</f>
        <v/>
      </c>
      <c r="F38" s="323"/>
      <c r="G38" s="323"/>
      <c r="H38" s="324"/>
    </row>
    <row r="39" spans="1:9" ht="27" customHeight="1" x14ac:dyDescent="0.25">
      <c r="A39" s="242" t="s">
        <v>376</v>
      </c>
      <c r="B39" s="243"/>
      <c r="C39" s="244"/>
      <c r="D39" s="43"/>
      <c r="E39" s="322" t="str">
        <f>IF(D39&gt;30,"Does not meet design criteria","")</f>
        <v/>
      </c>
      <c r="F39" s="323"/>
      <c r="G39" s="323"/>
      <c r="H39" s="324"/>
    </row>
    <row r="40" spans="1:9" ht="26.25" customHeight="1" x14ac:dyDescent="0.25">
      <c r="A40" s="245" t="s">
        <v>377</v>
      </c>
      <c r="B40" s="245"/>
      <c r="C40" s="245"/>
      <c r="D40" s="211"/>
      <c r="E40" s="322" t="str">
        <f>IF(D40="Yes","Does not meet design criteria","")</f>
        <v/>
      </c>
      <c r="F40" s="323"/>
      <c r="G40" s="323"/>
      <c r="H40" s="324"/>
    </row>
    <row r="41" spans="1:9" ht="32.25" customHeight="1" x14ac:dyDescent="0.25">
      <c r="A41" s="242" t="s">
        <v>713</v>
      </c>
      <c r="B41" s="243"/>
      <c r="C41" s="244"/>
      <c r="D41" s="43"/>
      <c r="E41" s="322" t="str">
        <f>IF(D41="","",IF(AND(D33="Infiltration Rain Garden",D41&lt;2),"Does not meet design criteria. Design as Filtration Rain Garden",IF(AND(D33="Filtration Rain Garden",D41&lt;2),"Impermeable liner required","")))</f>
        <v/>
      </c>
      <c r="F41" s="323"/>
      <c r="G41" s="323"/>
      <c r="H41" s="324"/>
    </row>
    <row r="42" spans="1:9" ht="13.15" customHeight="1" x14ac:dyDescent="0.25">
      <c r="A42" s="242" t="s">
        <v>297</v>
      </c>
      <c r="B42" s="243"/>
      <c r="C42" s="244"/>
      <c r="D42" s="43"/>
      <c r="E42" s="322" t="str">
        <f>IF(D42="","",IF(AND(D33="Infiltration Rain Garden",D42&lt;2),"Does not meet design criteria. Design as Filtration Rain Garden",IF(AND(D33="Filtration Rain Garden",D42&lt;2),"Impermeable liner required","")))</f>
        <v/>
      </c>
      <c r="F42" s="323"/>
      <c r="G42" s="323"/>
      <c r="H42" s="324"/>
    </row>
    <row r="43" spans="1:9" ht="13.15" customHeight="1" x14ac:dyDescent="0.25">
      <c r="A43" s="242" t="s">
        <v>378</v>
      </c>
      <c r="B43" s="243"/>
      <c r="C43" s="244"/>
      <c r="D43" s="43"/>
      <c r="E43" s="322" t="str">
        <f>IF(D43="","",IF(D43&lt;3,"Does not meet design criteria",""))</f>
        <v/>
      </c>
      <c r="F43" s="323"/>
      <c r="G43" s="323"/>
      <c r="H43" s="324"/>
    </row>
    <row r="44" spans="1:9" ht="13.15" customHeight="1" x14ac:dyDescent="0.25">
      <c r="A44" s="242" t="s">
        <v>300</v>
      </c>
      <c r="B44" s="243"/>
      <c r="C44" s="244"/>
      <c r="D44" s="43"/>
      <c r="E44" s="322" t="str">
        <f>IF(D44="","",IF(AND(D33="Filtration Rain Garden",D44&lt;10),"Does not meet design criteria",IF(AND(D33="Infiltration Rain Garden",D44&lt;6),"Does not meet design criteria","")))</f>
        <v/>
      </c>
      <c r="F44" s="323"/>
      <c r="G44" s="323"/>
      <c r="H44" s="324"/>
    </row>
    <row r="45" spans="1:9" ht="13.15" customHeight="1" x14ac:dyDescent="0.25">
      <c r="A45" s="236" t="s">
        <v>232</v>
      </c>
      <c r="B45" s="237"/>
      <c r="C45" s="237"/>
      <c r="D45" s="237"/>
      <c r="E45" s="237"/>
      <c r="F45" s="237"/>
      <c r="G45" s="237"/>
      <c r="H45" s="238"/>
    </row>
    <row r="46" spans="1:9" ht="13" x14ac:dyDescent="0.25">
      <c r="A46" s="35"/>
      <c r="B46" s="36"/>
      <c r="C46" s="36"/>
      <c r="D46" s="37"/>
      <c r="E46" s="302" t="s">
        <v>256</v>
      </c>
      <c r="F46" s="302"/>
      <c r="G46" s="38" t="s">
        <v>257</v>
      </c>
      <c r="H46" s="38" t="s">
        <v>258</v>
      </c>
    </row>
    <row r="47" spans="1:9" ht="13.15" customHeight="1" x14ac:dyDescent="0.25">
      <c r="A47" s="289" t="s">
        <v>302</v>
      </c>
      <c r="B47" s="289"/>
      <c r="C47" s="289"/>
      <c r="D47" s="198" t="s">
        <v>303</v>
      </c>
      <c r="E47" s="334" t="str">
        <f>F32</f>
        <v/>
      </c>
      <c r="F47" s="334"/>
      <c r="G47" s="193" t="s">
        <v>2</v>
      </c>
      <c r="H47" s="219"/>
    </row>
    <row r="48" spans="1:9" ht="13.15" customHeight="1" x14ac:dyDescent="0.25">
      <c r="A48" s="289" t="s">
        <v>379</v>
      </c>
      <c r="B48" s="289"/>
      <c r="C48" s="289"/>
      <c r="D48" s="198" t="s">
        <v>305</v>
      </c>
      <c r="E48" s="336"/>
      <c r="F48" s="336"/>
      <c r="G48" s="193" t="s">
        <v>271</v>
      </c>
      <c r="H48" s="219" t="str">
        <f>IF(E48="","",IF(AND(D33="Filtration Rain Garden",E48&lt;1.5),"Does not meet design criteria",IF(AND(D33="Filtration Rain Garden",E48&gt;2),"Does not meet design criteria",IF(AND(D33="Infiltration Rain Garden",E48&lt;1),"Does not meet design criteria",IF(AND(D33="Infiltration Rain Garden",E48&gt;1.5),"Does not meet design criteria","")))))</f>
        <v/>
      </c>
    </row>
    <row r="49" spans="1:16" ht="13.15" customHeight="1" x14ac:dyDescent="0.25">
      <c r="A49" s="266" t="s">
        <v>380</v>
      </c>
      <c r="B49" s="267"/>
      <c r="C49" s="268"/>
      <c r="D49" s="198" t="s">
        <v>307</v>
      </c>
      <c r="E49" s="289">
        <v>1</v>
      </c>
      <c r="F49" s="289"/>
      <c r="G49" s="193" t="s">
        <v>308</v>
      </c>
      <c r="H49" s="219"/>
    </row>
    <row r="50" spans="1:16" ht="13.15" customHeight="1" x14ac:dyDescent="0.25">
      <c r="A50" s="289" t="s">
        <v>309</v>
      </c>
      <c r="B50" s="289"/>
      <c r="C50" s="289"/>
      <c r="D50" s="198" t="s">
        <v>310</v>
      </c>
      <c r="E50" s="336"/>
      <c r="F50" s="336"/>
      <c r="G50" s="193" t="s">
        <v>271</v>
      </c>
      <c r="H50" s="219" t="str">
        <f>IF(E50&gt;0.5,"Does not meet design criteia","")</f>
        <v/>
      </c>
    </row>
    <row r="51" spans="1:16" ht="13.15" customHeight="1" x14ac:dyDescent="0.25">
      <c r="A51" s="289" t="s">
        <v>311</v>
      </c>
      <c r="B51" s="289"/>
      <c r="C51" s="289"/>
      <c r="D51" s="198" t="s">
        <v>312</v>
      </c>
      <c r="E51" s="289">
        <v>2</v>
      </c>
      <c r="F51" s="289"/>
      <c r="G51" s="193" t="s">
        <v>313</v>
      </c>
      <c r="H51" s="219"/>
    </row>
    <row r="52" spans="1:16" ht="13.15" customHeight="1" x14ac:dyDescent="0.25">
      <c r="A52" s="266" t="s">
        <v>381</v>
      </c>
      <c r="B52" s="267"/>
      <c r="C52" s="268"/>
      <c r="D52" s="198" t="s">
        <v>315</v>
      </c>
      <c r="E52" s="308" t="e">
        <f>(E47*E48)/(E49*(E50+E48)*E51)</f>
        <v>#VALUE!</v>
      </c>
      <c r="F52" s="308"/>
      <c r="G52" s="193" t="s">
        <v>316</v>
      </c>
      <c r="H52" s="219"/>
    </row>
    <row r="53" spans="1:16" ht="13.15" customHeight="1" x14ac:dyDescent="0.25">
      <c r="A53" s="266" t="s">
        <v>382</v>
      </c>
      <c r="B53" s="267"/>
      <c r="C53" s="268"/>
      <c r="D53" s="198" t="s">
        <v>315</v>
      </c>
      <c r="E53" s="336"/>
      <c r="F53" s="336"/>
      <c r="G53" s="193" t="s">
        <v>316</v>
      </c>
      <c r="H53" s="219" t="str">
        <f>IF(E53="","",IF(E52&gt;E53,"Does not meet sizing criteria",""))</f>
        <v/>
      </c>
    </row>
    <row r="54" spans="1:16" ht="30" customHeight="1" x14ac:dyDescent="0.25">
      <c r="A54" s="266" t="s">
        <v>383</v>
      </c>
      <c r="B54" s="267"/>
      <c r="C54" s="268"/>
      <c r="D54" s="198" t="s">
        <v>384</v>
      </c>
      <c r="E54" s="367" t="str">
        <f>IF(E53="","",(E53*(E49*(E50+E48)*E51))/E48)</f>
        <v/>
      </c>
      <c r="F54" s="368"/>
      <c r="G54" s="193" t="s">
        <v>2</v>
      </c>
      <c r="H54" s="219"/>
    </row>
    <row r="55" spans="1:16" ht="13.15" customHeight="1" x14ac:dyDescent="0.25">
      <c r="A55" s="236" t="s">
        <v>276</v>
      </c>
      <c r="B55" s="237"/>
      <c r="C55" s="237"/>
      <c r="D55" s="237"/>
      <c r="E55" s="237"/>
      <c r="F55" s="237"/>
      <c r="G55" s="237"/>
      <c r="H55" s="238"/>
    </row>
    <row r="56" spans="1:16" s="34" customFormat="1" ht="30.25" customHeight="1" x14ac:dyDescent="0.3">
      <c r="A56" s="335" t="s">
        <v>241</v>
      </c>
      <c r="B56" s="335"/>
      <c r="C56" s="9" t="str">
        <f>IF(A32="","",IF(D36="Yes",0,IF(B32="",0,IF(AND(D33="Infiltration Rain Garden",D35&lt;0.5),0,IF(D37&gt;5,0,IF(D38="Yes",0,IF(D39&gt;30,0,IF(D40="Yes",0,IF(AND(D33="Infiltration Rain Garden",D41&lt;2),0,IF(AND(D33="Infiltration Rain Garden",D42&lt;2),0,IF(D43&lt;3,0,IF(AND(D33="Filtration Rain Garden",D44&lt;10),0,IF(AND(D33="Infiltration Rain Garden",D44&lt;6),0,IF(AND(D33="Filtration Rain Garden",E48&lt;1.5),0,IF(AND(D33="Filtration Rain Garden",E48&gt;2),0,IF(AND(D33="Infiltration Rain Garden",E48&lt;1),0,IF(AND(D33="Infiltration Rain Garden",E48&gt;1.5),0,IF(E50&gt;0.5,0,IF(E53&lt;E52,0,IF(AND(D33="Filtration Rain Garden",(E54*0.4)&lt;=F32),(E54*0.4),IF(AND(D33="Filtration Rain Garden",(E54*0.4)&gt;F32),F32,IF(D33="Infiltration Rain Garden",F32*1))))))))))))))))))))))</f>
        <v/>
      </c>
      <c r="D56" s="310" t="s">
        <v>2</v>
      </c>
      <c r="E56" s="311"/>
      <c r="F56" s="311"/>
      <c r="G56" s="311"/>
      <c r="H56" s="312"/>
      <c r="I56" s="4"/>
      <c r="J56" s="4"/>
      <c r="K56" s="4"/>
      <c r="L56" s="4"/>
      <c r="M56" s="4"/>
      <c r="N56" s="4"/>
      <c r="O56" s="4"/>
      <c r="P56" s="4"/>
    </row>
    <row r="57" spans="1:16" ht="13" x14ac:dyDescent="0.3">
      <c r="A57" s="24" t="s">
        <v>56</v>
      </c>
      <c r="B57" s="23" t="str">
        <f>IF('STEP 2-WQv Calculation'!$B$4="","",'STEP 2-WQv Calculation'!$B$4)</f>
        <v/>
      </c>
      <c r="C57" s="31"/>
      <c r="D57" s="31"/>
      <c r="E57" s="32"/>
      <c r="F57" s="33"/>
      <c r="G57" s="33"/>
      <c r="H57" s="33"/>
    </row>
    <row r="58" spans="1:16" ht="13.15" customHeight="1" x14ac:dyDescent="0.25">
      <c r="A58" s="331" t="s">
        <v>293</v>
      </c>
      <c r="B58" s="332"/>
      <c r="C58" s="332"/>
      <c r="D58" s="332"/>
      <c r="E58" s="332"/>
      <c r="F58" s="332"/>
      <c r="G58" s="332"/>
      <c r="H58" s="333"/>
    </row>
    <row r="59" spans="1:16" ht="38.5" x14ac:dyDescent="0.25">
      <c r="A59" s="204" t="s">
        <v>60</v>
      </c>
      <c r="B59" s="205" t="s">
        <v>61</v>
      </c>
      <c r="C59" s="205" t="s">
        <v>62</v>
      </c>
      <c r="D59" s="205" t="s">
        <v>63</v>
      </c>
      <c r="E59" s="205" t="s">
        <v>64</v>
      </c>
      <c r="F59" s="205" t="s">
        <v>65</v>
      </c>
      <c r="G59" s="205" t="s">
        <v>244</v>
      </c>
      <c r="H59" s="206" t="s">
        <v>13</v>
      </c>
    </row>
    <row r="60" spans="1:16" x14ac:dyDescent="0.25">
      <c r="A60" s="17"/>
      <c r="B60" s="18" t="str">
        <f>IF($A60="","",(LOOKUP($A60,'STEP 2-WQv Calculation'!$A$8:$A$37,'STEP 2-WQv Calculation'!$B$8:$B$37)))</f>
        <v/>
      </c>
      <c r="C60" s="18" t="str">
        <f>IF($A60="","",(LOOKUP($A60,'STEP 2-WQv Calculation'!$A$8:$A$37,'STEP 2-WQv Calculation'!$C$8:$C$37)))</f>
        <v/>
      </c>
      <c r="D60" s="53" t="str">
        <f>IF($A60="","",(LOOKUP($A60,'STEP 2-WQv Calculation'!$A$8:$A$37,'STEP 2-WQv Calculation'!$D$8:$D$37)))</f>
        <v/>
      </c>
      <c r="E60" s="18" t="str">
        <f>IF($A60="","",(LOOKUP($A60,'STEP 2-WQv Calculation'!$A$8:$A$37,'STEP 2-WQv Calculation'!$E$8:$E$37)))</f>
        <v/>
      </c>
      <c r="F60" s="42" t="str">
        <f>IF($A60="","",(LOOKUP($A60,'STEP 2-WQv Calculation'!$A$8:$A$37,'STEP 2-WQv Calculation'!$F$8:$F$37)))</f>
        <v/>
      </c>
      <c r="G60" s="18">
        <f>'STEP 2-WQv Calculation'!B5</f>
        <v>0</v>
      </c>
      <c r="H60" s="29" t="str">
        <f>IF($A60="","",(LOOKUP($A60,'STEP 2-WQv Calculation'!$A$8:$A$37,'STEP 2-WQv Calculation'!$G$8:$G$37)))</f>
        <v/>
      </c>
    </row>
    <row r="61" spans="1:16" ht="13.15" customHeight="1" x14ac:dyDescent="0.25">
      <c r="A61" s="242" t="s">
        <v>373</v>
      </c>
      <c r="B61" s="243"/>
      <c r="C61" s="244"/>
      <c r="D61" s="364" t="s">
        <v>385</v>
      </c>
      <c r="E61" s="365"/>
      <c r="F61" s="365"/>
      <c r="G61" s="365"/>
      <c r="H61" s="366"/>
    </row>
    <row r="62" spans="1:16" ht="13.15" customHeight="1" x14ac:dyDescent="0.3">
      <c r="A62" s="273" t="s">
        <v>226</v>
      </c>
      <c r="B62" s="273"/>
      <c r="C62" s="273"/>
      <c r="D62" s="273"/>
      <c r="E62" s="273"/>
      <c r="F62" s="273"/>
      <c r="G62" s="273"/>
      <c r="H62" s="273"/>
    </row>
    <row r="63" spans="1:16" ht="28.5" customHeight="1" x14ac:dyDescent="0.25">
      <c r="A63" s="242" t="s">
        <v>295</v>
      </c>
      <c r="B63" s="243"/>
      <c r="C63" s="244"/>
      <c r="D63" s="44"/>
      <c r="E63" s="322" t="str">
        <f>IF(D63="","",IF(AND(D61="Filtration Rain Garden",D63&lt;0.5),"Underdrain required",IF(AND(D61="Infiltration Rain Garden",D63&lt;0.5),"Does not meet design criteria. Design as Filtration Rain Garden","")))</f>
        <v/>
      </c>
      <c r="F63" s="323"/>
      <c r="G63" s="323"/>
      <c r="H63" s="324"/>
    </row>
    <row r="64" spans="1:16" s="1" customFormat="1" ht="14.5" x14ac:dyDescent="0.35">
      <c r="A64" s="245" t="s">
        <v>247</v>
      </c>
      <c r="B64" s="245"/>
      <c r="C64" s="245"/>
      <c r="D64" s="211"/>
      <c r="E64" s="322" t="str">
        <f>IF(D64="","This practice cannot be used for hotspot treatment",IF(D64="Yes","Does not meet design criteria",""))</f>
        <v>This practice cannot be used for hotspot treatment</v>
      </c>
      <c r="F64" s="323"/>
      <c r="G64" s="323"/>
      <c r="H64" s="324"/>
      <c r="I64" s="4"/>
    </row>
    <row r="65" spans="1:8" ht="13.15" customHeight="1" x14ac:dyDescent="0.25">
      <c r="A65" s="242" t="s">
        <v>374</v>
      </c>
      <c r="B65" s="243"/>
      <c r="C65" s="244"/>
      <c r="D65" s="43"/>
      <c r="E65" s="322" t="str">
        <f>IF(D65&gt;5,"Does not meet design criteria","")</f>
        <v/>
      </c>
      <c r="F65" s="323"/>
      <c r="G65" s="323"/>
      <c r="H65" s="324"/>
    </row>
    <row r="66" spans="1:8" ht="13.15" customHeight="1" x14ac:dyDescent="0.25">
      <c r="A66" s="242" t="s">
        <v>375</v>
      </c>
      <c r="B66" s="243"/>
      <c r="C66" s="244"/>
      <c r="D66" s="227" t="e">
        <f>IF((B60*43560)&gt;1000,"Yes","No")</f>
        <v>#VALUE!</v>
      </c>
      <c r="E66" s="322" t="str">
        <f>IF(F60="","",IF(D66="","",IF(D66="Yes","Does not meet design criteria","")))</f>
        <v/>
      </c>
      <c r="F66" s="323"/>
      <c r="G66" s="323"/>
      <c r="H66" s="324"/>
    </row>
    <row r="67" spans="1:8" ht="26.25" customHeight="1" x14ac:dyDescent="0.25">
      <c r="A67" s="242" t="s">
        <v>376</v>
      </c>
      <c r="B67" s="243"/>
      <c r="C67" s="244"/>
      <c r="D67" s="43"/>
      <c r="E67" s="322" t="str">
        <f>IF(D67&gt;30,"Does not meet design criteria","")</f>
        <v/>
      </c>
      <c r="F67" s="323"/>
      <c r="G67" s="323"/>
      <c r="H67" s="324"/>
    </row>
    <row r="68" spans="1:8" ht="27.75" customHeight="1" x14ac:dyDescent="0.25">
      <c r="A68" s="245" t="s">
        <v>377</v>
      </c>
      <c r="B68" s="245"/>
      <c r="C68" s="245"/>
      <c r="D68" s="211"/>
      <c r="E68" s="322" t="str">
        <f>IF(D68="Yes","Does not meet design criteria","")</f>
        <v/>
      </c>
      <c r="F68" s="323"/>
      <c r="G68" s="323"/>
      <c r="H68" s="324"/>
    </row>
    <row r="69" spans="1:8" ht="27" customHeight="1" x14ac:dyDescent="0.25">
      <c r="A69" s="242" t="s">
        <v>713</v>
      </c>
      <c r="B69" s="243"/>
      <c r="C69" s="244"/>
      <c r="D69" s="43"/>
      <c r="E69" s="322" t="str">
        <f>IF(D69="","",IF(AND(D61="Infiltration Rain Garden",D69&lt;2),"Does not meet design criteria. Design as Filtration Rain Garden",IF(AND(D61="Filtration Rain Garden",D69&lt;2),"Impermeable liner required","")))</f>
        <v/>
      </c>
      <c r="F69" s="323"/>
      <c r="G69" s="323"/>
      <c r="H69" s="324"/>
    </row>
    <row r="70" spans="1:8" ht="13.15" customHeight="1" x14ac:dyDescent="0.25">
      <c r="A70" s="242" t="s">
        <v>297</v>
      </c>
      <c r="B70" s="243"/>
      <c r="C70" s="244"/>
      <c r="D70" s="43"/>
      <c r="E70" s="322" t="str">
        <f>IF(D70="","",IF(AND(D61="Infiltration Rain Garden",D70&lt;2),"Does not meet design criteria. Design as Filtration Rain Garden",IF(AND(D61="Filtration Rain Garden",D70&lt;2),"Impermeable liner required","")))</f>
        <v/>
      </c>
      <c r="F70" s="323"/>
      <c r="G70" s="323"/>
      <c r="H70" s="324"/>
    </row>
    <row r="71" spans="1:8" ht="13.15" customHeight="1" x14ac:dyDescent="0.25">
      <c r="A71" s="242" t="s">
        <v>378</v>
      </c>
      <c r="B71" s="243"/>
      <c r="C71" s="244"/>
      <c r="D71" s="43"/>
      <c r="E71" s="322" t="str">
        <f>IF(D71="","",IF(D71&lt;3,"Does not meet design criteria",""))</f>
        <v/>
      </c>
      <c r="F71" s="323"/>
      <c r="G71" s="323"/>
      <c r="H71" s="324"/>
    </row>
    <row r="72" spans="1:8" ht="13.15" customHeight="1" x14ac:dyDescent="0.25">
      <c r="A72" s="242" t="s">
        <v>300</v>
      </c>
      <c r="B72" s="243"/>
      <c r="C72" s="244"/>
      <c r="D72" s="43"/>
      <c r="E72" s="322" t="str">
        <f>IF(D72="","",IF(AND(D61="Filtration Rain Garden",D72&lt;10),"Does not meet design criteria",IF(AND(D61="Infiltration Rain Garden",D72&lt;6),"Does not meet design criteria","")))</f>
        <v/>
      </c>
      <c r="F72" s="323"/>
      <c r="G72" s="323"/>
      <c r="H72" s="324"/>
    </row>
    <row r="73" spans="1:8" ht="13.15" customHeight="1" x14ac:dyDescent="0.25">
      <c r="A73" s="236" t="s">
        <v>232</v>
      </c>
      <c r="B73" s="237"/>
      <c r="C73" s="237"/>
      <c r="D73" s="237"/>
      <c r="E73" s="237"/>
      <c r="F73" s="237"/>
      <c r="G73" s="237"/>
      <c r="H73" s="238"/>
    </row>
    <row r="74" spans="1:8" ht="13" x14ac:dyDescent="0.25">
      <c r="A74" s="35"/>
      <c r="B74" s="36"/>
      <c r="C74" s="36"/>
      <c r="D74" s="37"/>
      <c r="E74" s="302" t="s">
        <v>256</v>
      </c>
      <c r="F74" s="302"/>
      <c r="G74" s="38" t="s">
        <v>257</v>
      </c>
      <c r="H74" s="38" t="s">
        <v>258</v>
      </c>
    </row>
    <row r="75" spans="1:8" ht="13.15" customHeight="1" x14ac:dyDescent="0.25">
      <c r="A75" s="289" t="s">
        <v>302</v>
      </c>
      <c r="B75" s="289"/>
      <c r="C75" s="289"/>
      <c r="D75" s="198" t="s">
        <v>303</v>
      </c>
      <c r="E75" s="334" t="str">
        <f>F60</f>
        <v/>
      </c>
      <c r="F75" s="334"/>
      <c r="G75" s="193" t="s">
        <v>2</v>
      </c>
      <c r="H75" s="219"/>
    </row>
    <row r="76" spans="1:8" ht="13.15" customHeight="1" x14ac:dyDescent="0.25">
      <c r="A76" s="289" t="s">
        <v>379</v>
      </c>
      <c r="B76" s="289"/>
      <c r="C76" s="289"/>
      <c r="D76" s="198" t="s">
        <v>305</v>
      </c>
      <c r="E76" s="336"/>
      <c r="F76" s="336"/>
      <c r="G76" s="193" t="s">
        <v>271</v>
      </c>
      <c r="H76" s="219" t="str">
        <f>IF(E76="","",IF(AND(D61="Filtration Rain Garden",E76&lt;1.5),"Does not meet design criteria",IF(AND(D61="Filtration Rain Garden",E76&gt;2),"Does not meet design criteria",IF(AND(D61="Infiltration Rain Garden",E76&lt;1),"Does not meet design criteria",IF(AND(D61="Infiltration Rain Garden",E76&gt;1.5),"Does not meet design criteria","")))))</f>
        <v/>
      </c>
    </row>
    <row r="77" spans="1:8" ht="13.15" customHeight="1" x14ac:dyDescent="0.25">
      <c r="A77" s="266" t="s">
        <v>380</v>
      </c>
      <c r="B77" s="267"/>
      <c r="C77" s="268"/>
      <c r="D77" s="198" t="s">
        <v>307</v>
      </c>
      <c r="E77" s="289">
        <v>1</v>
      </c>
      <c r="F77" s="289"/>
      <c r="G77" s="193" t="s">
        <v>308</v>
      </c>
      <c r="H77" s="219"/>
    </row>
    <row r="78" spans="1:8" ht="13.15" customHeight="1" x14ac:dyDescent="0.25">
      <c r="A78" s="289" t="s">
        <v>309</v>
      </c>
      <c r="B78" s="289"/>
      <c r="C78" s="289"/>
      <c r="D78" s="198" t="s">
        <v>310</v>
      </c>
      <c r="E78" s="336"/>
      <c r="F78" s="336"/>
      <c r="G78" s="193" t="s">
        <v>271</v>
      </c>
      <c r="H78" s="219" t="str">
        <f>IF(E78&gt;0.5,"Does not meet design criteia","")</f>
        <v/>
      </c>
    </row>
    <row r="79" spans="1:8" ht="13.15" customHeight="1" x14ac:dyDescent="0.25">
      <c r="A79" s="289" t="s">
        <v>311</v>
      </c>
      <c r="B79" s="289"/>
      <c r="C79" s="289"/>
      <c r="D79" s="198" t="s">
        <v>312</v>
      </c>
      <c r="E79" s="289">
        <v>2</v>
      </c>
      <c r="F79" s="289"/>
      <c r="G79" s="193" t="s">
        <v>313</v>
      </c>
      <c r="H79" s="219"/>
    </row>
    <row r="80" spans="1:8" ht="13.15" customHeight="1" x14ac:dyDescent="0.25">
      <c r="A80" s="266" t="s">
        <v>381</v>
      </c>
      <c r="B80" s="267"/>
      <c r="C80" s="268"/>
      <c r="D80" s="198" t="s">
        <v>315</v>
      </c>
      <c r="E80" s="308" t="e">
        <f>(E75*E76)/(E77*(E78+E76)*E79)</f>
        <v>#VALUE!</v>
      </c>
      <c r="F80" s="308"/>
      <c r="G80" s="193" t="s">
        <v>316</v>
      </c>
      <c r="H80" s="219"/>
    </row>
    <row r="81" spans="1:16" ht="13.15" customHeight="1" x14ac:dyDescent="0.25">
      <c r="A81" s="266" t="s">
        <v>382</v>
      </c>
      <c r="B81" s="267"/>
      <c r="C81" s="268"/>
      <c r="D81" s="198" t="s">
        <v>315</v>
      </c>
      <c r="E81" s="336"/>
      <c r="F81" s="336"/>
      <c r="G81" s="193" t="s">
        <v>316</v>
      </c>
      <c r="H81" s="219" t="str">
        <f>IF(E81="","",IF(E80&gt;E81,"Does not meet sizing criteria",""))</f>
        <v/>
      </c>
    </row>
    <row r="82" spans="1:16" ht="30" customHeight="1" x14ac:dyDescent="0.25">
      <c r="A82" s="266" t="s">
        <v>383</v>
      </c>
      <c r="B82" s="267"/>
      <c r="C82" s="268"/>
      <c r="D82" s="198" t="s">
        <v>384</v>
      </c>
      <c r="E82" s="367" t="str">
        <f>IF(E81="","",(E81*(E77*(E78+E76)*E79))/E76)</f>
        <v/>
      </c>
      <c r="F82" s="368"/>
      <c r="G82" s="193" t="s">
        <v>2</v>
      </c>
      <c r="H82" s="219"/>
    </row>
    <row r="83" spans="1:16" ht="13.15" customHeight="1" x14ac:dyDescent="0.25">
      <c r="A83" s="236" t="s">
        <v>276</v>
      </c>
      <c r="B83" s="237"/>
      <c r="C83" s="237"/>
      <c r="D83" s="237"/>
      <c r="E83" s="237"/>
      <c r="F83" s="237"/>
      <c r="G83" s="237"/>
      <c r="H83" s="238"/>
    </row>
    <row r="84" spans="1:16" s="34" customFormat="1" ht="30.25" customHeight="1" x14ac:dyDescent="0.3">
      <c r="A84" s="335" t="s">
        <v>241</v>
      </c>
      <c r="B84" s="335"/>
      <c r="C84" s="9" t="str">
        <f>IF(A60="","",IF(D64="Yes",0,IF(B60="",0,IF(AND(D61="Infiltration Rain Garden",D63&lt;0.5),0,IF(D65&gt;5,0,IF(D66="Yes",0,IF(D67&gt;30,0,IF(D68="Yes",0,IF(AND(D61="Infiltration Rain Garden",D69&lt;2),0,IF(AND(D61="Infiltration Rain Garden",D70&lt;2),0,IF(D71&lt;3,0,IF(AND(D61="Filtration Rain Garden",D72&lt;10),0,IF(AND(D61="Infiltration Rain Garden",D72&lt;6),0,IF(AND(D61="Filtration Rain Garden",E76&lt;1.5),0,IF(AND(D61="Filtration Rain Garden",E76&gt;2),0,IF(AND(D61="Infiltration Rain Garden",E76&lt;1),0,IF(AND(D61="Infiltration Rain Garden",E76&gt;1.5),0,IF(E78&gt;0.5,0,IF(E81&lt;E80,0,IF(AND(D61="Filtration Rain Garden",(E82*0.4)&lt;=F60),(E82*0.4),IF(AND(D61="Filtration Rain Garden",(E82*0.4)&gt;F60),F60,IF(D61="Infiltration Rain Garden",F60*1))))))))))))))))))))))</f>
        <v/>
      </c>
      <c r="D84" s="310" t="s">
        <v>2</v>
      </c>
      <c r="E84" s="311"/>
      <c r="F84" s="311"/>
      <c r="G84" s="311"/>
      <c r="H84" s="312"/>
      <c r="I84" s="4"/>
      <c r="J84" s="4"/>
      <c r="K84" s="4"/>
      <c r="L84" s="4"/>
      <c r="M84" s="4"/>
      <c r="N84" s="4"/>
      <c r="O84" s="4"/>
      <c r="P84" s="4"/>
    </row>
    <row r="85" spans="1:16" ht="13" x14ac:dyDescent="0.3">
      <c r="A85" s="24" t="s">
        <v>56</v>
      </c>
      <c r="B85" s="23" t="str">
        <f>IF('STEP 2-WQv Calculation'!$B$4="","",'STEP 2-WQv Calculation'!$B$4)</f>
        <v/>
      </c>
      <c r="C85" s="31"/>
      <c r="D85" s="31"/>
      <c r="E85" s="32"/>
      <c r="F85" s="33"/>
      <c r="G85" s="33"/>
      <c r="H85" s="33"/>
    </row>
    <row r="86" spans="1:16" ht="13.15" customHeight="1" x14ac:dyDescent="0.25">
      <c r="A86" s="331" t="s">
        <v>293</v>
      </c>
      <c r="B86" s="332"/>
      <c r="C86" s="332"/>
      <c r="D86" s="332"/>
      <c r="E86" s="332"/>
      <c r="F86" s="332"/>
      <c r="G86" s="332"/>
      <c r="H86" s="333"/>
    </row>
    <row r="87" spans="1:16" ht="38.5" x14ac:dyDescent="0.25">
      <c r="A87" s="204" t="s">
        <v>60</v>
      </c>
      <c r="B87" s="205" t="s">
        <v>61</v>
      </c>
      <c r="C87" s="205" t="s">
        <v>62</v>
      </c>
      <c r="D87" s="205" t="s">
        <v>63</v>
      </c>
      <c r="E87" s="205" t="s">
        <v>64</v>
      </c>
      <c r="F87" s="205" t="s">
        <v>65</v>
      </c>
      <c r="G87" s="205" t="s">
        <v>244</v>
      </c>
      <c r="H87" s="206" t="s">
        <v>13</v>
      </c>
    </row>
    <row r="88" spans="1:16" x14ac:dyDescent="0.25">
      <c r="A88" s="17"/>
      <c r="B88" s="18" t="str">
        <f>IF($A88="","",(LOOKUP($A88,'STEP 2-WQv Calculation'!$A$8:$A$37,'STEP 2-WQv Calculation'!$B$8:$B$37)))</f>
        <v/>
      </c>
      <c r="C88" s="18" t="str">
        <f>IF($A88="","",(LOOKUP($A88,'STEP 2-WQv Calculation'!$A$8:$A$37,'STEP 2-WQv Calculation'!$C$8:$C$37)))</f>
        <v/>
      </c>
      <c r="D88" s="53" t="str">
        <f>IF($A88="","",(LOOKUP($A88,'STEP 2-WQv Calculation'!$A$8:$A$37,'STEP 2-WQv Calculation'!$D$8:$D$37)))</f>
        <v/>
      </c>
      <c r="E88" s="18" t="str">
        <f>IF($A88="","",(LOOKUP($A88,'STEP 2-WQv Calculation'!$A$8:$A$37,'STEP 2-WQv Calculation'!$E$8:$E$37)))</f>
        <v/>
      </c>
      <c r="F88" s="42" t="str">
        <f>IF($A88="","",(LOOKUP($A88,'STEP 2-WQv Calculation'!$A$8:$A$37,'STEP 2-WQv Calculation'!$F$8:$F$37)))</f>
        <v/>
      </c>
      <c r="G88" s="18">
        <f>'STEP 2-WQv Calculation'!B5</f>
        <v>0</v>
      </c>
      <c r="H88" s="29" t="str">
        <f>IF($A88="","",(LOOKUP($A88,'STEP 2-WQv Calculation'!$A$8:$A$37,'STEP 2-WQv Calculation'!$G$8:$G$37)))</f>
        <v/>
      </c>
    </row>
    <row r="89" spans="1:16" ht="13.15" customHeight="1" x14ac:dyDescent="0.25">
      <c r="A89" s="242" t="s">
        <v>373</v>
      </c>
      <c r="B89" s="243"/>
      <c r="C89" s="244"/>
      <c r="D89" s="364" t="s">
        <v>385</v>
      </c>
      <c r="E89" s="365"/>
      <c r="F89" s="365"/>
      <c r="G89" s="365"/>
      <c r="H89" s="366"/>
    </row>
    <row r="90" spans="1:16" ht="13.15" customHeight="1" x14ac:dyDescent="0.3">
      <c r="A90" s="273" t="s">
        <v>226</v>
      </c>
      <c r="B90" s="273"/>
      <c r="C90" s="273"/>
      <c r="D90" s="273"/>
      <c r="E90" s="273"/>
      <c r="F90" s="273"/>
      <c r="G90" s="273"/>
      <c r="H90" s="273"/>
    </row>
    <row r="91" spans="1:16" ht="28.5" customHeight="1" x14ac:dyDescent="0.25">
      <c r="A91" s="242" t="s">
        <v>295</v>
      </c>
      <c r="B91" s="243"/>
      <c r="C91" s="244"/>
      <c r="D91" s="44"/>
      <c r="E91" s="322" t="str">
        <f>IF(D91="","",IF(AND(D89="Filtration Rain Garden",D91&lt;0.5),"Underdrain required",IF(AND(D89="Infiltration Rain Garden",D91&lt;0.5),"Does not meet design criteria. Design as Filtration Rain Garden","")))</f>
        <v/>
      </c>
      <c r="F91" s="323"/>
      <c r="G91" s="323"/>
      <c r="H91" s="324"/>
    </row>
    <row r="92" spans="1:16" s="1" customFormat="1" ht="14.5" x14ac:dyDescent="0.35">
      <c r="A92" s="245" t="s">
        <v>247</v>
      </c>
      <c r="B92" s="245"/>
      <c r="C92" s="245"/>
      <c r="D92" s="211"/>
      <c r="E92" s="322" t="str">
        <f>IF(D92="","This practice cannot be used for hotspot treatment",IF(D92="Yes","Does not meet design criteria",""))</f>
        <v>This practice cannot be used for hotspot treatment</v>
      </c>
      <c r="F92" s="323"/>
      <c r="G92" s="323"/>
      <c r="H92" s="324"/>
      <c r="I92" s="4"/>
    </row>
    <row r="93" spans="1:16" ht="13.15" customHeight="1" x14ac:dyDescent="0.25">
      <c r="A93" s="242" t="s">
        <v>374</v>
      </c>
      <c r="B93" s="243"/>
      <c r="C93" s="244"/>
      <c r="D93" s="43"/>
      <c r="E93" s="322" t="str">
        <f>IF(D93&gt;5,"Does not meet design criteria","")</f>
        <v/>
      </c>
      <c r="F93" s="323"/>
      <c r="G93" s="323"/>
      <c r="H93" s="324"/>
    </row>
    <row r="94" spans="1:16" ht="13.15" customHeight="1" x14ac:dyDescent="0.25">
      <c r="A94" s="242" t="s">
        <v>375</v>
      </c>
      <c r="B94" s="243"/>
      <c r="C94" s="244"/>
      <c r="D94" s="227" t="e">
        <f>IF((B88*43560)&gt;1000,"Yes","No")</f>
        <v>#VALUE!</v>
      </c>
      <c r="E94" s="322" t="str">
        <f>IF(F88="","",IF(D94="","",IF(D94="Yes","Does not meet design criteria","")))</f>
        <v/>
      </c>
      <c r="F94" s="323"/>
      <c r="G94" s="323"/>
      <c r="H94" s="324"/>
    </row>
    <row r="95" spans="1:16" ht="27" customHeight="1" x14ac:dyDescent="0.25">
      <c r="A95" s="242" t="s">
        <v>376</v>
      </c>
      <c r="B95" s="243"/>
      <c r="C95" s="244"/>
      <c r="D95" s="43"/>
      <c r="E95" s="322" t="str">
        <f>IF(D95&gt;30,"Does not meet design criteria","")</f>
        <v/>
      </c>
      <c r="F95" s="323"/>
      <c r="G95" s="323"/>
      <c r="H95" s="324"/>
    </row>
    <row r="96" spans="1:16" ht="27" customHeight="1" x14ac:dyDescent="0.25">
      <c r="A96" s="245" t="s">
        <v>377</v>
      </c>
      <c r="B96" s="245"/>
      <c r="C96" s="245"/>
      <c r="D96" s="211"/>
      <c r="E96" s="322" t="str">
        <f>IF(D96="Yes","Does not meet design criteria","")</f>
        <v/>
      </c>
      <c r="F96" s="323"/>
      <c r="G96" s="323"/>
      <c r="H96" s="324"/>
    </row>
    <row r="97" spans="1:16" ht="28.5" customHeight="1" x14ac:dyDescent="0.25">
      <c r="A97" s="242" t="s">
        <v>713</v>
      </c>
      <c r="B97" s="243"/>
      <c r="C97" s="244"/>
      <c r="D97" s="43"/>
      <c r="E97" s="322" t="str">
        <f>IF(D97="","",IF(AND(D89="Infiltration Rain Garden",D97&lt;2),"Does not meet design criteria. Design as Filtration Rain Garden",IF(AND(D89="Filtration Rain Garden",D97&lt;2),"Impermeable liner required","")))</f>
        <v/>
      </c>
      <c r="F97" s="323"/>
      <c r="G97" s="323"/>
      <c r="H97" s="324"/>
    </row>
    <row r="98" spans="1:16" ht="13.15" customHeight="1" x14ac:dyDescent="0.25">
      <c r="A98" s="242" t="s">
        <v>297</v>
      </c>
      <c r="B98" s="243"/>
      <c r="C98" s="244"/>
      <c r="D98" s="43"/>
      <c r="E98" s="322" t="str">
        <f>IF(D98="","",IF(AND(D89="Infiltration Rain Garden",D98&lt;2),"Does not meet design criteria. Design as Filtration Rain Garden",IF(AND(D89="Filtration Rain Garden",D98&lt;2),"Impermeable liner required","")))</f>
        <v/>
      </c>
      <c r="F98" s="323"/>
      <c r="G98" s="323"/>
      <c r="H98" s="324"/>
    </row>
    <row r="99" spans="1:16" ht="13.15" customHeight="1" x14ac:dyDescent="0.25">
      <c r="A99" s="242" t="s">
        <v>378</v>
      </c>
      <c r="B99" s="243"/>
      <c r="C99" s="244"/>
      <c r="D99" s="43"/>
      <c r="E99" s="322" t="str">
        <f>IF(D99="","",IF(D99&lt;3,"Does not meet design criteria",""))</f>
        <v/>
      </c>
      <c r="F99" s="323"/>
      <c r="G99" s="323"/>
      <c r="H99" s="324"/>
    </row>
    <row r="100" spans="1:16" ht="13.15" customHeight="1" x14ac:dyDescent="0.25">
      <c r="A100" s="242" t="s">
        <v>300</v>
      </c>
      <c r="B100" s="243"/>
      <c r="C100" s="244"/>
      <c r="D100" s="43"/>
      <c r="E100" s="322" t="str">
        <f>IF(D100="","",IF(AND(D89="Filtration Rain Garden",D100&lt;10),"Does not meet design criteria",IF(AND(D89="Infiltration Rain Garden",D100&lt;6),"Does not meet design criteria","")))</f>
        <v/>
      </c>
      <c r="F100" s="323"/>
      <c r="G100" s="323"/>
      <c r="H100" s="324"/>
    </row>
    <row r="101" spans="1:16" ht="13.15" customHeight="1" x14ac:dyDescent="0.25">
      <c r="A101" s="236" t="s">
        <v>232</v>
      </c>
      <c r="B101" s="237"/>
      <c r="C101" s="237"/>
      <c r="D101" s="237"/>
      <c r="E101" s="237"/>
      <c r="F101" s="237"/>
      <c r="G101" s="237"/>
      <c r="H101" s="238"/>
    </row>
    <row r="102" spans="1:16" ht="13" x14ac:dyDescent="0.25">
      <c r="A102" s="35"/>
      <c r="B102" s="36"/>
      <c r="C102" s="36"/>
      <c r="D102" s="37"/>
      <c r="E102" s="302" t="s">
        <v>256</v>
      </c>
      <c r="F102" s="302"/>
      <c r="G102" s="38" t="s">
        <v>257</v>
      </c>
      <c r="H102" s="38" t="s">
        <v>258</v>
      </c>
    </row>
    <row r="103" spans="1:16" ht="13.15" customHeight="1" x14ac:dyDescent="0.25">
      <c r="A103" s="289" t="s">
        <v>302</v>
      </c>
      <c r="B103" s="289"/>
      <c r="C103" s="289"/>
      <c r="D103" s="198" t="s">
        <v>303</v>
      </c>
      <c r="E103" s="334" t="str">
        <f>F88</f>
        <v/>
      </c>
      <c r="F103" s="334"/>
      <c r="G103" s="193" t="s">
        <v>2</v>
      </c>
      <c r="H103" s="219"/>
    </row>
    <row r="104" spans="1:16" ht="13.15" customHeight="1" x14ac:dyDescent="0.25">
      <c r="A104" s="289" t="s">
        <v>379</v>
      </c>
      <c r="B104" s="289"/>
      <c r="C104" s="289"/>
      <c r="D104" s="198" t="s">
        <v>305</v>
      </c>
      <c r="E104" s="336"/>
      <c r="F104" s="336"/>
      <c r="G104" s="193" t="s">
        <v>271</v>
      </c>
      <c r="H104" s="219" t="str">
        <f>IF(E104="","",IF(AND(D89="Filtration Rain Garden",E104&lt;1.5),"Does not meet design criteria",IF(AND(D89="Filtration Rain Garden",E104&gt;2),"Does not meet design criteria",IF(AND(D89="Infiltration Rain Garden",E104&lt;1),"Does not meet design criteria",IF(AND(D89="Infiltration Rain Garden",E104&gt;1.5),"Does not meet design criteria","")))))</f>
        <v/>
      </c>
    </row>
    <row r="105" spans="1:16" ht="13.15" customHeight="1" x14ac:dyDescent="0.25">
      <c r="A105" s="266" t="s">
        <v>380</v>
      </c>
      <c r="B105" s="267"/>
      <c r="C105" s="268"/>
      <c r="D105" s="198" t="s">
        <v>307</v>
      </c>
      <c r="E105" s="289">
        <v>1</v>
      </c>
      <c r="F105" s="289"/>
      <c r="G105" s="193" t="s">
        <v>308</v>
      </c>
      <c r="H105" s="219"/>
    </row>
    <row r="106" spans="1:16" ht="13.15" customHeight="1" x14ac:dyDescent="0.25">
      <c r="A106" s="289" t="s">
        <v>309</v>
      </c>
      <c r="B106" s="289"/>
      <c r="C106" s="289"/>
      <c r="D106" s="198" t="s">
        <v>310</v>
      </c>
      <c r="E106" s="336"/>
      <c r="F106" s="336"/>
      <c r="G106" s="193" t="s">
        <v>271</v>
      </c>
      <c r="H106" s="219" t="str">
        <f>IF(E106&gt;0.5,"Does not meet design criteia","")</f>
        <v/>
      </c>
    </row>
    <row r="107" spans="1:16" ht="13.15" customHeight="1" x14ac:dyDescent="0.25">
      <c r="A107" s="289" t="s">
        <v>311</v>
      </c>
      <c r="B107" s="289"/>
      <c r="C107" s="289"/>
      <c r="D107" s="198" t="s">
        <v>312</v>
      </c>
      <c r="E107" s="289">
        <v>2</v>
      </c>
      <c r="F107" s="289"/>
      <c r="G107" s="193" t="s">
        <v>313</v>
      </c>
      <c r="H107" s="219"/>
    </row>
    <row r="108" spans="1:16" ht="13.15" customHeight="1" x14ac:dyDescent="0.25">
      <c r="A108" s="266" t="s">
        <v>381</v>
      </c>
      <c r="B108" s="267"/>
      <c r="C108" s="268"/>
      <c r="D108" s="198" t="s">
        <v>315</v>
      </c>
      <c r="E108" s="308" t="e">
        <f>(E103*E104)/(E105*(E106+E104)*E107)</f>
        <v>#VALUE!</v>
      </c>
      <c r="F108" s="308"/>
      <c r="G108" s="193" t="s">
        <v>316</v>
      </c>
      <c r="H108" s="219"/>
    </row>
    <row r="109" spans="1:16" ht="13.15" customHeight="1" x14ac:dyDescent="0.25">
      <c r="A109" s="266" t="s">
        <v>382</v>
      </c>
      <c r="B109" s="267"/>
      <c r="C109" s="268"/>
      <c r="D109" s="198" t="s">
        <v>315</v>
      </c>
      <c r="E109" s="336"/>
      <c r="F109" s="336"/>
      <c r="G109" s="193" t="s">
        <v>316</v>
      </c>
      <c r="H109" s="219" t="str">
        <f>IF(E109="","",IF(E108&gt;E109,"Does not meet sizing criteria",""))</f>
        <v/>
      </c>
    </row>
    <row r="110" spans="1:16" ht="30" customHeight="1" x14ac:dyDescent="0.25">
      <c r="A110" s="266" t="s">
        <v>383</v>
      </c>
      <c r="B110" s="267"/>
      <c r="C110" s="268"/>
      <c r="D110" s="198" t="s">
        <v>384</v>
      </c>
      <c r="E110" s="367" t="str">
        <f>IF(E109="","",(E109*(E105*(E106+E104)*E107))/E104)</f>
        <v/>
      </c>
      <c r="F110" s="368"/>
      <c r="G110" s="193" t="s">
        <v>2</v>
      </c>
      <c r="H110" s="219"/>
    </row>
    <row r="111" spans="1:16" ht="13.15" customHeight="1" x14ac:dyDescent="0.25">
      <c r="A111" s="236" t="s">
        <v>276</v>
      </c>
      <c r="B111" s="237"/>
      <c r="C111" s="237"/>
      <c r="D111" s="237"/>
      <c r="E111" s="237"/>
      <c r="F111" s="237"/>
      <c r="G111" s="237"/>
      <c r="H111" s="238"/>
    </row>
    <row r="112" spans="1:16" s="34" customFormat="1" ht="30.25" customHeight="1" x14ac:dyDescent="0.3">
      <c r="A112" s="335" t="s">
        <v>241</v>
      </c>
      <c r="B112" s="335"/>
      <c r="C112" s="9" t="str">
        <f>IF(A88="","",IF(D92="Yes",0,IF(B88="",0,IF(AND(D89="Infiltration Rain Garden",D91&lt;0.5),0,IF(D93&gt;5,0,IF(D94="Yes",0,IF(D95&gt;30,0,IF(D96="Yes",0,IF(AND(D89="Infiltration Rain Garden",D97&lt;2),0,IF(AND(D89="Infiltration Rain Garden",D98&lt;2),0,IF(D99&lt;3,0,IF(AND(D89="Filtration Rain Garden",D100&lt;10),0,IF(AND(D89="Infiltration Rain Garden",D100&lt;6),0,IF(AND(D89="Filtration Rain Garden",E104&lt;1.5),0,IF(AND(D89="Filtration Rain Garden",E104&gt;2),0,IF(AND(D89="Infiltration Rain Garden",E104&lt;1),0,IF(AND(D89="Infiltration Rain Garden",E104&gt;1.5),0,IF(E106&gt;0.5,0,IF(E109&lt;E108,0,IF(AND(D89="Filtration Rain Garden",(E110*0.4)&lt;=F88),(E110*0.4),IF(AND(D89="Filtration Rain Garden",(E110*0.4)&gt;F88),F88,IF(D89="Infiltration Rain Garden",F88*1))))))))))))))))))))))</f>
        <v/>
      </c>
      <c r="D112" s="310" t="s">
        <v>2</v>
      </c>
      <c r="E112" s="311"/>
      <c r="F112" s="311"/>
      <c r="G112" s="311"/>
      <c r="H112" s="312"/>
      <c r="I112" s="4"/>
      <c r="J112" s="4"/>
      <c r="K112" s="4"/>
      <c r="L112" s="4"/>
      <c r="M112" s="4"/>
      <c r="N112" s="4"/>
      <c r="O112" s="4"/>
      <c r="P112" s="4"/>
    </row>
    <row r="113" spans="1:9" ht="13" x14ac:dyDescent="0.3">
      <c r="A113" s="24" t="s">
        <v>56</v>
      </c>
      <c r="B113" s="23" t="str">
        <f>IF('STEP 2-WQv Calculation'!$B$4="","",'STEP 2-WQv Calculation'!$B$4)</f>
        <v/>
      </c>
      <c r="C113" s="31"/>
      <c r="D113" s="31"/>
      <c r="E113" s="32"/>
      <c r="F113" s="33"/>
      <c r="G113" s="33"/>
      <c r="H113" s="33"/>
    </row>
    <row r="114" spans="1:9" ht="13.15" customHeight="1" x14ac:dyDescent="0.25">
      <c r="A114" s="331" t="s">
        <v>293</v>
      </c>
      <c r="B114" s="332"/>
      <c r="C114" s="332"/>
      <c r="D114" s="332"/>
      <c r="E114" s="332"/>
      <c r="F114" s="332"/>
      <c r="G114" s="332"/>
      <c r="H114" s="333"/>
    </row>
    <row r="115" spans="1:9" ht="38.5" x14ac:dyDescent="0.25">
      <c r="A115" s="204" t="s">
        <v>60</v>
      </c>
      <c r="B115" s="205" t="s">
        <v>61</v>
      </c>
      <c r="C115" s="205" t="s">
        <v>62</v>
      </c>
      <c r="D115" s="205" t="s">
        <v>63</v>
      </c>
      <c r="E115" s="205" t="s">
        <v>64</v>
      </c>
      <c r="F115" s="205" t="s">
        <v>65</v>
      </c>
      <c r="G115" s="205" t="s">
        <v>244</v>
      </c>
      <c r="H115" s="206" t="s">
        <v>13</v>
      </c>
    </row>
    <row r="116" spans="1:9" x14ac:dyDescent="0.25">
      <c r="A116" s="17"/>
      <c r="B116" s="18" t="str">
        <f>IF($A116="","",(LOOKUP($A116,'STEP 2-WQv Calculation'!$A$8:$A$37,'STEP 2-WQv Calculation'!$B$8:$B$37)))</f>
        <v/>
      </c>
      <c r="C116" s="18" t="str">
        <f>IF($A116="","",(LOOKUP($A116,'STEP 2-WQv Calculation'!$A$8:$A$37,'STEP 2-WQv Calculation'!$C$8:$C$37)))</f>
        <v/>
      </c>
      <c r="D116" s="53" t="str">
        <f>IF($A116="","",(LOOKUP($A116,'STEP 2-WQv Calculation'!$A$8:$A$37,'STEP 2-WQv Calculation'!$D$8:$D$37)))</f>
        <v/>
      </c>
      <c r="E116" s="18" t="str">
        <f>IF($A116="","",(LOOKUP($A116,'STEP 2-WQv Calculation'!$A$8:$A$37,'STEP 2-WQv Calculation'!$E$8:$E$37)))</f>
        <v/>
      </c>
      <c r="F116" s="42" t="str">
        <f>IF($A116="","",(LOOKUP($A116,'STEP 2-WQv Calculation'!$A$8:$A$37,'STEP 2-WQv Calculation'!$F$8:$F$37)))</f>
        <v/>
      </c>
      <c r="G116" s="18">
        <f>'STEP 2-WQv Calculation'!B5</f>
        <v>0</v>
      </c>
      <c r="H116" s="29" t="str">
        <f>IF($A116="","",(LOOKUP($A116,'STEP 2-WQv Calculation'!$A$8:$A$37,'STEP 2-WQv Calculation'!$G$8:$G$37)))</f>
        <v/>
      </c>
    </row>
    <row r="117" spans="1:9" ht="13.15" customHeight="1" x14ac:dyDescent="0.25">
      <c r="A117" s="242" t="s">
        <v>373</v>
      </c>
      <c r="B117" s="243"/>
      <c r="C117" s="244"/>
      <c r="D117" s="369" t="s">
        <v>385</v>
      </c>
      <c r="E117" s="370"/>
      <c r="F117" s="370"/>
      <c r="G117" s="370"/>
      <c r="H117" s="371"/>
    </row>
    <row r="118" spans="1:9" ht="13.15" customHeight="1" x14ac:dyDescent="0.3">
      <c r="A118" s="273" t="s">
        <v>226</v>
      </c>
      <c r="B118" s="273"/>
      <c r="C118" s="273"/>
      <c r="D118" s="273"/>
      <c r="E118" s="273"/>
      <c r="F118" s="273"/>
      <c r="G118" s="273"/>
      <c r="H118" s="273"/>
    </row>
    <row r="119" spans="1:9" ht="27.75" customHeight="1" x14ac:dyDescent="0.25">
      <c r="A119" s="242" t="s">
        <v>295</v>
      </c>
      <c r="B119" s="243"/>
      <c r="C119" s="244"/>
      <c r="D119" s="44"/>
      <c r="E119" s="322" t="str">
        <f>IF(D119="","",IF(AND(D117="Filtration Rain Garden",D119&lt;0.5),"Underdrain required",IF(AND(D117="Infiltration Rain Garden",D119&lt;0.5),"Does not meet design criteria. Design as Filtration Rain Garden","")))</f>
        <v/>
      </c>
      <c r="F119" s="323"/>
      <c r="G119" s="323"/>
      <c r="H119" s="324"/>
    </row>
    <row r="120" spans="1:9" s="1" customFormat="1" ht="14.5" x14ac:dyDescent="0.35">
      <c r="A120" s="245" t="s">
        <v>247</v>
      </c>
      <c r="B120" s="245"/>
      <c r="C120" s="245"/>
      <c r="D120" s="211"/>
      <c r="E120" s="322" t="str">
        <f>IF(D120="","This practice cannot be used for hotspot treatment",IF(D120="Yes","Does not meet design criteria",""))</f>
        <v>This practice cannot be used for hotspot treatment</v>
      </c>
      <c r="F120" s="323"/>
      <c r="G120" s="323"/>
      <c r="H120" s="324"/>
      <c r="I120" s="4"/>
    </row>
    <row r="121" spans="1:9" ht="13.15" customHeight="1" x14ac:dyDescent="0.25">
      <c r="A121" s="242" t="s">
        <v>374</v>
      </c>
      <c r="B121" s="243"/>
      <c r="C121" s="244"/>
      <c r="D121" s="43"/>
      <c r="E121" s="322" t="str">
        <f>IF(D121&gt;5,"Does not meet design criteria","")</f>
        <v/>
      </c>
      <c r="F121" s="323"/>
      <c r="G121" s="323"/>
      <c r="H121" s="324"/>
    </row>
    <row r="122" spans="1:9" ht="13.15" customHeight="1" x14ac:dyDescent="0.25">
      <c r="A122" s="242" t="s">
        <v>375</v>
      </c>
      <c r="B122" s="243"/>
      <c r="C122" s="244"/>
      <c r="D122" s="227" t="e">
        <f>IF((B116*43560)&gt;1000,"Yes","No")</f>
        <v>#VALUE!</v>
      </c>
      <c r="E122" s="322" t="str">
        <f>IF(F116="","",IF(D122="","",IF(D122="Yes","Does not meet design criteria","")))</f>
        <v/>
      </c>
      <c r="F122" s="323"/>
      <c r="G122" s="323"/>
      <c r="H122" s="324"/>
    </row>
    <row r="123" spans="1:9" ht="26.25" customHeight="1" x14ac:dyDescent="0.25">
      <c r="A123" s="242" t="s">
        <v>376</v>
      </c>
      <c r="B123" s="243"/>
      <c r="C123" s="244"/>
      <c r="D123" s="43"/>
      <c r="E123" s="322" t="str">
        <f>IF(D123&gt;30,"Does not meet design criteria","")</f>
        <v/>
      </c>
      <c r="F123" s="323"/>
      <c r="G123" s="323"/>
      <c r="H123" s="324"/>
    </row>
    <row r="124" spans="1:9" ht="25.5" customHeight="1" x14ac:dyDescent="0.25">
      <c r="A124" s="245" t="s">
        <v>377</v>
      </c>
      <c r="B124" s="245"/>
      <c r="C124" s="245"/>
      <c r="D124" s="211"/>
      <c r="E124" s="322" t="str">
        <f>IF(D124="Yes","Does not meet design criteria","")</f>
        <v/>
      </c>
      <c r="F124" s="323"/>
      <c r="G124" s="323"/>
      <c r="H124" s="324"/>
    </row>
    <row r="125" spans="1:9" ht="28.5" customHeight="1" x14ac:dyDescent="0.25">
      <c r="A125" s="242" t="s">
        <v>713</v>
      </c>
      <c r="B125" s="243"/>
      <c r="C125" s="244"/>
      <c r="D125" s="43"/>
      <c r="E125" s="322" t="str">
        <f>IF(D125="","",IF(AND(D117="Infiltration Rain Garden",D125&lt;2),"Does not meet design criteria. Design as Filtration Rain Garden",IF(AND(D117="Filtration Rain Garden",D125&lt;2),"Impermeable liner required","")))</f>
        <v/>
      </c>
      <c r="F125" s="323"/>
      <c r="G125" s="323"/>
      <c r="H125" s="324"/>
    </row>
    <row r="126" spans="1:9" ht="13.15" customHeight="1" x14ac:dyDescent="0.25">
      <c r="A126" s="242" t="s">
        <v>297</v>
      </c>
      <c r="B126" s="243"/>
      <c r="C126" s="244"/>
      <c r="D126" s="43"/>
      <c r="E126" s="322" t="str">
        <f>IF(D126="","",IF(AND(D117="Infiltration Rain Garden",D126&lt;2),"Does not meet design criteria. Design as Filtration Rain Garden",IF(AND(D117="Filtration Rain Garden",D126&lt;2),"Impermeable liner required","")))</f>
        <v/>
      </c>
      <c r="F126" s="323"/>
      <c r="G126" s="323"/>
      <c r="H126" s="324"/>
    </row>
    <row r="127" spans="1:9" ht="13.15" customHeight="1" x14ac:dyDescent="0.25">
      <c r="A127" s="242" t="s">
        <v>378</v>
      </c>
      <c r="B127" s="243"/>
      <c r="C127" s="244"/>
      <c r="D127" s="43"/>
      <c r="E127" s="322" t="str">
        <f>IF(D127="","",IF(D127&lt;3,"Does not meet design criteria",""))</f>
        <v/>
      </c>
      <c r="F127" s="323"/>
      <c r="G127" s="323"/>
      <c r="H127" s="324"/>
    </row>
    <row r="128" spans="1:9" ht="13.15" customHeight="1" x14ac:dyDescent="0.25">
      <c r="A128" s="242" t="s">
        <v>300</v>
      </c>
      <c r="B128" s="243"/>
      <c r="C128" s="244"/>
      <c r="D128" s="43"/>
      <c r="E128" s="322" t="str">
        <f>IF(D128="","",IF(AND(D117="Filtration Rain Garden",D128&lt;10),"Does not meet design criteria",IF(AND(D117="Infiltration Rain Garden",D128&lt;6),"Does not meet design criteria","")))</f>
        <v/>
      </c>
      <c r="F128" s="323"/>
      <c r="G128" s="323"/>
      <c r="H128" s="324"/>
    </row>
    <row r="129" spans="1:16" ht="13.15" customHeight="1" x14ac:dyDescent="0.25">
      <c r="A129" s="236" t="s">
        <v>232</v>
      </c>
      <c r="B129" s="237"/>
      <c r="C129" s="237"/>
      <c r="D129" s="237"/>
      <c r="E129" s="237"/>
      <c r="F129" s="237"/>
      <c r="G129" s="237"/>
      <c r="H129" s="238"/>
    </row>
    <row r="130" spans="1:16" ht="13" x14ac:dyDescent="0.25">
      <c r="A130" s="35"/>
      <c r="B130" s="36"/>
      <c r="C130" s="36"/>
      <c r="D130" s="37"/>
      <c r="E130" s="302" t="s">
        <v>256</v>
      </c>
      <c r="F130" s="302"/>
      <c r="G130" s="38" t="s">
        <v>257</v>
      </c>
      <c r="H130" s="38" t="s">
        <v>258</v>
      </c>
    </row>
    <row r="131" spans="1:16" ht="13.15" customHeight="1" x14ac:dyDescent="0.25">
      <c r="A131" s="289" t="s">
        <v>302</v>
      </c>
      <c r="B131" s="289"/>
      <c r="C131" s="289"/>
      <c r="D131" s="198" t="s">
        <v>303</v>
      </c>
      <c r="E131" s="334" t="str">
        <f>F116</f>
        <v/>
      </c>
      <c r="F131" s="334"/>
      <c r="G131" s="193" t="s">
        <v>2</v>
      </c>
      <c r="H131" s="219"/>
    </row>
    <row r="132" spans="1:16" ht="13.15" customHeight="1" x14ac:dyDescent="0.25">
      <c r="A132" s="289" t="s">
        <v>379</v>
      </c>
      <c r="B132" s="289"/>
      <c r="C132" s="289"/>
      <c r="D132" s="198" t="s">
        <v>305</v>
      </c>
      <c r="E132" s="336"/>
      <c r="F132" s="336"/>
      <c r="G132" s="193" t="s">
        <v>271</v>
      </c>
      <c r="H132" s="219" t="str">
        <f>IF(E132="","",IF(AND(D117="Filtration Rain Garden",E132&lt;1.5),"Does not meet design criteria",IF(AND(D117="Filtration Rain Garden",E132&gt;2),"Does not meet design criteria",IF(AND(D117="Infiltration Rain Garden",E132&lt;1),"Does not meet design criteria",IF(AND(D117="Infiltration Rain Garden",E132&gt;1.5),"Does not meet design criteria","")))))</f>
        <v/>
      </c>
    </row>
    <row r="133" spans="1:16" ht="13.15" customHeight="1" x14ac:dyDescent="0.25">
      <c r="A133" s="266" t="s">
        <v>380</v>
      </c>
      <c r="B133" s="267"/>
      <c r="C133" s="268"/>
      <c r="D133" s="198" t="s">
        <v>307</v>
      </c>
      <c r="E133" s="289">
        <v>1</v>
      </c>
      <c r="F133" s="289"/>
      <c r="G133" s="193" t="s">
        <v>308</v>
      </c>
      <c r="H133" s="219"/>
    </row>
    <row r="134" spans="1:16" ht="13.15" customHeight="1" x14ac:dyDescent="0.25">
      <c r="A134" s="289" t="s">
        <v>309</v>
      </c>
      <c r="B134" s="289"/>
      <c r="C134" s="289"/>
      <c r="D134" s="198" t="s">
        <v>310</v>
      </c>
      <c r="E134" s="336"/>
      <c r="F134" s="336"/>
      <c r="G134" s="193" t="s">
        <v>271</v>
      </c>
      <c r="H134" s="219" t="str">
        <f>IF(E134&gt;0.5,"Does not meet design criteia","")</f>
        <v/>
      </c>
    </row>
    <row r="135" spans="1:16" ht="13.15" customHeight="1" x14ac:dyDescent="0.25">
      <c r="A135" s="289" t="s">
        <v>311</v>
      </c>
      <c r="B135" s="289"/>
      <c r="C135" s="289"/>
      <c r="D135" s="198" t="s">
        <v>312</v>
      </c>
      <c r="E135" s="289">
        <v>2</v>
      </c>
      <c r="F135" s="289"/>
      <c r="G135" s="193" t="s">
        <v>313</v>
      </c>
      <c r="H135" s="219"/>
    </row>
    <row r="136" spans="1:16" ht="13.15" customHeight="1" x14ac:dyDescent="0.25">
      <c r="A136" s="266" t="s">
        <v>381</v>
      </c>
      <c r="B136" s="267"/>
      <c r="C136" s="268"/>
      <c r="D136" s="198" t="s">
        <v>315</v>
      </c>
      <c r="E136" s="308" t="e">
        <f>(E131*E132)/(E133*(E134+E132)*E135)</f>
        <v>#VALUE!</v>
      </c>
      <c r="F136" s="308"/>
      <c r="G136" s="193" t="s">
        <v>316</v>
      </c>
      <c r="H136" s="219"/>
    </row>
    <row r="137" spans="1:16" ht="13.15" customHeight="1" x14ac:dyDescent="0.25">
      <c r="A137" s="266" t="s">
        <v>382</v>
      </c>
      <c r="B137" s="267"/>
      <c r="C137" s="268"/>
      <c r="D137" s="198" t="s">
        <v>315</v>
      </c>
      <c r="E137" s="336"/>
      <c r="F137" s="336"/>
      <c r="G137" s="193" t="s">
        <v>316</v>
      </c>
      <c r="H137" s="219" t="str">
        <f>IF(E137="","",IF(E136&gt;E137,"Does not meet sizing criteria",""))</f>
        <v/>
      </c>
    </row>
    <row r="138" spans="1:16" ht="30" customHeight="1" x14ac:dyDescent="0.25">
      <c r="A138" s="266" t="s">
        <v>383</v>
      </c>
      <c r="B138" s="267"/>
      <c r="C138" s="268"/>
      <c r="D138" s="198" t="s">
        <v>384</v>
      </c>
      <c r="E138" s="367" t="str">
        <f>IF(E137="","",(E137*(E133*(E134+E132)*E135))/E132)</f>
        <v/>
      </c>
      <c r="F138" s="368"/>
      <c r="G138" s="193" t="s">
        <v>2</v>
      </c>
      <c r="H138" s="219"/>
    </row>
    <row r="139" spans="1:16" ht="13.15" customHeight="1" x14ac:dyDescent="0.25">
      <c r="A139" s="236" t="s">
        <v>276</v>
      </c>
      <c r="B139" s="237"/>
      <c r="C139" s="237"/>
      <c r="D139" s="237"/>
      <c r="E139" s="237"/>
      <c r="F139" s="237"/>
      <c r="G139" s="237"/>
      <c r="H139" s="238"/>
    </row>
    <row r="140" spans="1:16" s="34" customFormat="1" ht="30.25" customHeight="1" x14ac:dyDescent="0.3">
      <c r="A140" s="335" t="s">
        <v>241</v>
      </c>
      <c r="B140" s="335"/>
      <c r="C140" s="9" t="str">
        <f>IF(A116="","",IF(D120="Yes",0,IF(B116="",0,IF(AND(D117="Infiltration Rain Garden",D119&lt;0.5),0,IF(D121&gt;5,0,IF(D122="Yes",0,IF(D123&gt;30,0,IF(D124="Yes",0,IF(AND(D117="Infiltration Rain Garden",D125&lt;2),0,IF(AND(D117="Infiltration Rain Garden",D126&lt;2),0,IF(D127&lt;3,0,IF(AND(D117="Filtration Rain Garden",D128&lt;10),0,IF(AND(D117="Infiltration Rain Garden",D128&lt;6),0,IF(AND(D117="Filtration Rain Garden",E132&lt;1.5),0,IF(AND(D117="Filtration Rain Garden",E132&gt;2),0,IF(AND(D117="Infiltration Rain Garden",E132&lt;1),0,IF(AND(D117="Infiltration Rain Garden",E132&gt;1.5),0,IF(E134&gt;0.5,0,IF(E137&lt;E136,0,IF(AND(D117="Filtration Rain Garden",(E138*0.4)&lt;=F116),(E138*0.4),IF(AND(D117="Filtration Rain Garden",(E138*0.4)&gt;F116),F116,IF(D117="Infiltration Rain Garden",F116*1))))))))))))))))))))))</f>
        <v/>
      </c>
      <c r="D140" s="310" t="s">
        <v>2</v>
      </c>
      <c r="E140" s="311"/>
      <c r="F140" s="311"/>
      <c r="G140" s="311"/>
      <c r="H140" s="312"/>
      <c r="I140" s="4"/>
      <c r="J140" s="4"/>
      <c r="K140" s="4"/>
      <c r="L140" s="4"/>
      <c r="M140" s="4"/>
      <c r="N140" s="4"/>
      <c r="O140" s="4"/>
      <c r="P140" s="4"/>
    </row>
    <row r="141" spans="1:16" ht="13" x14ac:dyDescent="0.3">
      <c r="A141" s="24" t="s">
        <v>56</v>
      </c>
      <c r="B141" s="23" t="str">
        <f>IF('STEP 2-WQv Calculation'!$B$4="","",'STEP 2-WQv Calculation'!$B$4)</f>
        <v/>
      </c>
      <c r="C141" s="31"/>
      <c r="D141" s="31"/>
      <c r="E141" s="32"/>
      <c r="F141" s="33"/>
      <c r="G141" s="33"/>
      <c r="H141" s="33"/>
    </row>
    <row r="142" spans="1:16" ht="13" x14ac:dyDescent="0.25">
      <c r="A142" s="331" t="s">
        <v>293</v>
      </c>
      <c r="B142" s="332"/>
      <c r="C142" s="332"/>
      <c r="D142" s="332"/>
      <c r="E142" s="332"/>
      <c r="F142" s="332"/>
      <c r="G142" s="332"/>
      <c r="H142" s="333"/>
    </row>
    <row r="143" spans="1:16" ht="38.5" x14ac:dyDescent="0.25">
      <c r="A143" s="204" t="s">
        <v>60</v>
      </c>
      <c r="B143" s="205" t="s">
        <v>61</v>
      </c>
      <c r="C143" s="205" t="s">
        <v>62</v>
      </c>
      <c r="D143" s="205" t="s">
        <v>63</v>
      </c>
      <c r="E143" s="205" t="s">
        <v>64</v>
      </c>
      <c r="F143" s="205" t="s">
        <v>65</v>
      </c>
      <c r="G143" s="205" t="s">
        <v>244</v>
      </c>
      <c r="H143" s="206" t="s">
        <v>13</v>
      </c>
    </row>
    <row r="144" spans="1:16" x14ac:dyDescent="0.25">
      <c r="A144" s="17"/>
      <c r="B144" s="18" t="str">
        <f>IF($A144="","",(LOOKUP($A144,'STEP 2-WQv Calculation'!$A$8:$A$37,'STEP 2-WQv Calculation'!$B$8:$B$37)))</f>
        <v/>
      </c>
      <c r="C144" s="18" t="str">
        <f>IF($A144="","",(LOOKUP($A144,'STEP 2-WQv Calculation'!$A$8:$A$37,'STEP 2-WQv Calculation'!$C$8:$C$37)))</f>
        <v/>
      </c>
      <c r="D144" s="53" t="str">
        <f>IF($A144="","",(LOOKUP($A144,'STEP 2-WQv Calculation'!$A$8:$A$37,'STEP 2-WQv Calculation'!$D$8:$D$37)))</f>
        <v/>
      </c>
      <c r="E144" s="18" t="str">
        <f>IF($A144="","",(LOOKUP($A144,'STEP 2-WQv Calculation'!$A$8:$A$37,'STEP 2-WQv Calculation'!$E$8:$E$37)))</f>
        <v/>
      </c>
      <c r="F144" s="42" t="str">
        <f>IF($A144="","",(LOOKUP($A144,'STEP 2-WQv Calculation'!$A$8:$A$37,'STEP 2-WQv Calculation'!$F$8:$F$37)))</f>
        <v/>
      </c>
      <c r="G144" s="18">
        <f>'STEP 2-WQv Calculation'!B33</f>
        <v>0</v>
      </c>
      <c r="H144" s="29" t="str">
        <f>IF($A144="","",(LOOKUP($A144,'STEP 2-WQv Calculation'!$A$8:$A$37,'STEP 2-WQv Calculation'!$G$8:$G$37)))</f>
        <v/>
      </c>
    </row>
    <row r="145" spans="1:8" x14ac:dyDescent="0.25">
      <c r="A145" s="242" t="s">
        <v>373</v>
      </c>
      <c r="B145" s="243"/>
      <c r="C145" s="244"/>
      <c r="D145" s="369" t="s">
        <v>385</v>
      </c>
      <c r="E145" s="370"/>
      <c r="F145" s="370"/>
      <c r="G145" s="370"/>
      <c r="H145" s="371"/>
    </row>
    <row r="146" spans="1:8" ht="13" x14ac:dyDescent="0.3">
      <c r="A146" s="273" t="s">
        <v>226</v>
      </c>
      <c r="B146" s="273"/>
      <c r="C146" s="273"/>
      <c r="D146" s="273"/>
      <c r="E146" s="273"/>
      <c r="F146" s="273"/>
      <c r="G146" s="273"/>
      <c r="H146" s="273"/>
    </row>
    <row r="147" spans="1:8" x14ac:dyDescent="0.25">
      <c r="A147" s="242" t="s">
        <v>295</v>
      </c>
      <c r="B147" s="243"/>
      <c r="C147" s="244"/>
      <c r="D147" s="44"/>
      <c r="E147" s="322" t="str">
        <f>IF(D147="","",IF(AND(D145="Filtration Rain Garden",D147&lt;0.5),"Underdrain required",IF(AND(D145="Infiltration Rain Garden",D147&lt;0.5),"Does not meet design criteria. Design as Filtration Rain Garden","")))</f>
        <v/>
      </c>
      <c r="F147" s="323"/>
      <c r="G147" s="323"/>
      <c r="H147" s="324"/>
    </row>
    <row r="148" spans="1:8" x14ac:dyDescent="0.25">
      <c r="A148" s="245" t="s">
        <v>247</v>
      </c>
      <c r="B148" s="245"/>
      <c r="C148" s="245"/>
      <c r="D148" s="211"/>
      <c r="E148" s="322" t="str">
        <f>IF(D148="","This practice cannot be used for hotspot treatment",IF(D148="Yes","Does not meet design criteria",""))</f>
        <v>This practice cannot be used for hotspot treatment</v>
      </c>
      <c r="F148" s="323"/>
      <c r="G148" s="323"/>
      <c r="H148" s="324"/>
    </row>
    <row r="149" spans="1:8" x14ac:dyDescent="0.25">
      <c r="A149" s="242" t="s">
        <v>374</v>
      </c>
      <c r="B149" s="243"/>
      <c r="C149" s="244"/>
      <c r="D149" s="43"/>
      <c r="E149" s="322" t="str">
        <f>IF(D149&gt;5,"Does not meet design criteria","")</f>
        <v/>
      </c>
      <c r="F149" s="323"/>
      <c r="G149" s="323"/>
      <c r="H149" s="324"/>
    </row>
    <row r="150" spans="1:8" x14ac:dyDescent="0.25">
      <c r="A150" s="242" t="s">
        <v>375</v>
      </c>
      <c r="B150" s="243"/>
      <c r="C150" s="244"/>
      <c r="D150" s="227" t="e">
        <f>IF((B144*43560)&gt;1000,"Yes","No")</f>
        <v>#VALUE!</v>
      </c>
      <c r="E150" s="322" t="str">
        <f>IF(F144="","",IF(D150="","",IF(D150="Yes","Does not meet design criteria","")))</f>
        <v/>
      </c>
      <c r="F150" s="323"/>
      <c r="G150" s="323"/>
      <c r="H150" s="324"/>
    </row>
    <row r="151" spans="1:8" x14ac:dyDescent="0.25">
      <c r="A151" s="242" t="s">
        <v>376</v>
      </c>
      <c r="B151" s="243"/>
      <c r="C151" s="244"/>
      <c r="D151" s="43"/>
      <c r="E151" s="322" t="str">
        <f>IF(D151&gt;30,"Does not meet design criteria","")</f>
        <v/>
      </c>
      <c r="F151" s="323"/>
      <c r="G151" s="323"/>
      <c r="H151" s="324"/>
    </row>
    <row r="152" spans="1:8" x14ac:dyDescent="0.25">
      <c r="A152" s="245" t="s">
        <v>377</v>
      </c>
      <c r="B152" s="245"/>
      <c r="C152" s="245"/>
      <c r="D152" s="211"/>
      <c r="E152" s="322" t="str">
        <f>IF(D152="Yes","Does not meet design criteria","")</f>
        <v/>
      </c>
      <c r="F152" s="323"/>
      <c r="G152" s="323"/>
      <c r="H152" s="324"/>
    </row>
    <row r="153" spans="1:8" x14ac:dyDescent="0.25">
      <c r="A153" s="242" t="s">
        <v>713</v>
      </c>
      <c r="B153" s="243"/>
      <c r="C153" s="244"/>
      <c r="D153" s="43"/>
      <c r="E153" s="322" t="str">
        <f>IF(D153="","",IF(AND(D145="Infiltration Rain Garden",D153&lt;2),"Does not meet design criteria. Design as Filtration Rain Garden",IF(AND(D145="Filtration Rain Garden",D153&lt;2),"Impermeable liner required","")))</f>
        <v/>
      </c>
      <c r="F153" s="323"/>
      <c r="G153" s="323"/>
      <c r="H153" s="324"/>
    </row>
    <row r="154" spans="1:8" x14ac:dyDescent="0.25">
      <c r="A154" s="242" t="s">
        <v>297</v>
      </c>
      <c r="B154" s="243"/>
      <c r="C154" s="244"/>
      <c r="D154" s="43"/>
      <c r="E154" s="322" t="str">
        <f>IF(D154="","",IF(AND(D145="Infiltration Rain Garden",D154&lt;2),"Does not meet design criteria. Design as Filtration Rain Garden",IF(AND(D145="Filtration Rain Garden",D154&lt;2),"Impermeable liner required","")))</f>
        <v/>
      </c>
      <c r="F154" s="323"/>
      <c r="G154" s="323"/>
      <c r="H154" s="324"/>
    </row>
    <row r="155" spans="1:8" x14ac:dyDescent="0.25">
      <c r="A155" s="242" t="s">
        <v>378</v>
      </c>
      <c r="B155" s="243"/>
      <c r="C155" s="244"/>
      <c r="D155" s="43"/>
      <c r="E155" s="322" t="str">
        <f>IF(D155="","",IF(D155&lt;3,"Does not meet design criteria",""))</f>
        <v/>
      </c>
      <c r="F155" s="323"/>
      <c r="G155" s="323"/>
      <c r="H155" s="324"/>
    </row>
    <row r="156" spans="1:8" x14ac:dyDescent="0.25">
      <c r="A156" s="242" t="s">
        <v>300</v>
      </c>
      <c r="B156" s="243"/>
      <c r="C156" s="244"/>
      <c r="D156" s="43"/>
      <c r="E156" s="322" t="str">
        <f>IF(D156="","",IF(AND(D145="Filtration Rain Garden",D156&lt;10),"Does not meet design criteria",IF(AND(D145="Infiltration Rain Garden",D156&lt;6),"Does not meet design criteria","")))</f>
        <v/>
      </c>
      <c r="F156" s="323"/>
      <c r="G156" s="323"/>
      <c r="H156" s="324"/>
    </row>
    <row r="157" spans="1:8" ht="13" x14ac:dyDescent="0.25">
      <c r="A157" s="236" t="s">
        <v>232</v>
      </c>
      <c r="B157" s="237"/>
      <c r="C157" s="237"/>
      <c r="D157" s="237"/>
      <c r="E157" s="237"/>
      <c r="F157" s="237"/>
      <c r="G157" s="237"/>
      <c r="H157" s="238"/>
    </row>
    <row r="158" spans="1:8" ht="13" x14ac:dyDescent="0.25">
      <c r="A158" s="35"/>
      <c r="B158" s="36"/>
      <c r="C158" s="36"/>
      <c r="D158" s="37"/>
      <c r="E158" s="302" t="s">
        <v>256</v>
      </c>
      <c r="F158" s="302"/>
      <c r="G158" s="38" t="s">
        <v>257</v>
      </c>
      <c r="H158" s="38" t="s">
        <v>258</v>
      </c>
    </row>
    <row r="159" spans="1:8" x14ac:dyDescent="0.25">
      <c r="A159" s="289" t="s">
        <v>302</v>
      </c>
      <c r="B159" s="289"/>
      <c r="C159" s="289"/>
      <c r="D159" s="198" t="s">
        <v>303</v>
      </c>
      <c r="E159" s="334" t="str">
        <f>F144</f>
        <v/>
      </c>
      <c r="F159" s="334"/>
      <c r="G159" s="193" t="s">
        <v>2</v>
      </c>
      <c r="H159" s="219"/>
    </row>
    <row r="160" spans="1:8" x14ac:dyDescent="0.25">
      <c r="A160" s="289" t="s">
        <v>379</v>
      </c>
      <c r="B160" s="289"/>
      <c r="C160" s="289"/>
      <c r="D160" s="198" t="s">
        <v>305</v>
      </c>
      <c r="E160" s="336"/>
      <c r="F160" s="336"/>
      <c r="G160" s="193" t="s">
        <v>271</v>
      </c>
      <c r="H160" s="219" t="str">
        <f>IF(E160="","",IF(AND(D145="Filtration Rain Garden",E160&lt;1.5),"Does not meet design criteria",IF(AND(D145="Filtration Rain Garden",E160&gt;2),"Does not meet design criteria",IF(AND(D145="Infiltration Rain Garden",E160&lt;1),"Does not meet design criteria",IF(AND(D145="Infiltration Rain Garden",E160&gt;1.5),"Does not meet design criteria","")))))</f>
        <v/>
      </c>
    </row>
    <row r="161" spans="1:8" x14ac:dyDescent="0.25">
      <c r="A161" s="266" t="s">
        <v>380</v>
      </c>
      <c r="B161" s="267"/>
      <c r="C161" s="268"/>
      <c r="D161" s="198" t="s">
        <v>307</v>
      </c>
      <c r="E161" s="289">
        <v>1</v>
      </c>
      <c r="F161" s="289"/>
      <c r="G161" s="193" t="s">
        <v>308</v>
      </c>
      <c r="H161" s="219"/>
    </row>
    <row r="162" spans="1:8" x14ac:dyDescent="0.25">
      <c r="A162" s="289" t="s">
        <v>309</v>
      </c>
      <c r="B162" s="289"/>
      <c r="C162" s="289"/>
      <c r="D162" s="198" t="s">
        <v>310</v>
      </c>
      <c r="E162" s="336"/>
      <c r="F162" s="336"/>
      <c r="G162" s="193" t="s">
        <v>271</v>
      </c>
      <c r="H162" s="219" t="str">
        <f>IF(E162&gt;0.5,"Does not meet design criteia","")</f>
        <v/>
      </c>
    </row>
    <row r="163" spans="1:8" x14ac:dyDescent="0.25">
      <c r="A163" s="289" t="s">
        <v>311</v>
      </c>
      <c r="B163" s="289"/>
      <c r="C163" s="289"/>
      <c r="D163" s="198" t="s">
        <v>312</v>
      </c>
      <c r="E163" s="289">
        <v>2</v>
      </c>
      <c r="F163" s="289"/>
      <c r="G163" s="193" t="s">
        <v>313</v>
      </c>
      <c r="H163" s="219"/>
    </row>
    <row r="164" spans="1:8" x14ac:dyDescent="0.25">
      <c r="A164" s="266" t="s">
        <v>381</v>
      </c>
      <c r="B164" s="267"/>
      <c r="C164" s="268"/>
      <c r="D164" s="198" t="s">
        <v>315</v>
      </c>
      <c r="E164" s="308" t="e">
        <f>(E159*E160)/(E161*(E162+E160)*E163)</f>
        <v>#VALUE!</v>
      </c>
      <c r="F164" s="308"/>
      <c r="G164" s="193" t="s">
        <v>316</v>
      </c>
      <c r="H164" s="219"/>
    </row>
    <row r="165" spans="1:8" x14ac:dyDescent="0.25">
      <c r="A165" s="266" t="s">
        <v>382</v>
      </c>
      <c r="B165" s="267"/>
      <c r="C165" s="268"/>
      <c r="D165" s="198" t="s">
        <v>315</v>
      </c>
      <c r="E165" s="336"/>
      <c r="F165" s="336"/>
      <c r="G165" s="193" t="s">
        <v>316</v>
      </c>
      <c r="H165" s="219" t="str">
        <f>IF(E165="","",IF(E164&gt;E165,"Does not meet sizing criteria",""))</f>
        <v/>
      </c>
    </row>
    <row r="166" spans="1:8" x14ac:dyDescent="0.25">
      <c r="A166" s="266" t="s">
        <v>383</v>
      </c>
      <c r="B166" s="267"/>
      <c r="C166" s="268"/>
      <c r="D166" s="198" t="s">
        <v>384</v>
      </c>
      <c r="E166" s="367" t="str">
        <f>IF(E165="","",(E165*(E161*(E162+E160)*E163))/E160)</f>
        <v/>
      </c>
      <c r="F166" s="368"/>
      <c r="G166" s="193" t="s">
        <v>2</v>
      </c>
      <c r="H166" s="219"/>
    </row>
    <row r="167" spans="1:8" ht="13" x14ac:dyDescent="0.25">
      <c r="A167" s="236" t="s">
        <v>276</v>
      </c>
      <c r="B167" s="237"/>
      <c r="C167" s="237"/>
      <c r="D167" s="237"/>
      <c r="E167" s="237"/>
      <c r="F167" s="237"/>
      <c r="G167" s="237"/>
      <c r="H167" s="238"/>
    </row>
    <row r="168" spans="1:8" ht="13" x14ac:dyDescent="0.25">
      <c r="A168" s="335" t="s">
        <v>241</v>
      </c>
      <c r="B168" s="335"/>
      <c r="C168" s="9" t="str">
        <f>IF(A144="","",IF(D148="Yes",0,IF(B144="",0,IF(AND(D145="Infiltration Rain Garden",D147&lt;0.5),0,IF(D149&gt;5,0,IF(D150="Yes",0,IF(D151&gt;30,0,IF(D152="Yes",0,IF(AND(D145="Infiltration Rain Garden",D153&lt;2),0,IF(AND(D145="Infiltration Rain Garden",D154&lt;2),0,IF(D155&lt;3,0,IF(AND(D145="Filtration Rain Garden",D156&lt;10),0,IF(AND(D145="Infiltration Rain Garden",D156&lt;6),0,IF(AND(D145="Filtration Rain Garden",E160&lt;1.5),0,IF(AND(D145="Filtration Rain Garden",E160&gt;2),0,IF(AND(D145="Infiltration Rain Garden",E160&lt;1),0,IF(AND(D145="Infiltration Rain Garden",E160&gt;1.5),0,IF(E162&gt;0.5,0,IF(E165&lt;E164,0,IF(AND(D145="Filtration Rain Garden",(E166*0.4)&lt;=F144),(E166*0.4),IF(AND(D145="Filtration Rain Garden",(E166*0.4)&gt;F144),F144,IF(D145="Infiltration Rain Garden",F144*1))))))))))))))))))))))</f>
        <v/>
      </c>
      <c r="D168" s="310" t="s">
        <v>2</v>
      </c>
      <c r="E168" s="311"/>
      <c r="F168" s="311"/>
      <c r="G168" s="311"/>
      <c r="H168" s="312"/>
    </row>
    <row r="169" spans="1:8" ht="13" x14ac:dyDescent="0.3">
      <c r="A169" s="24" t="s">
        <v>56</v>
      </c>
      <c r="B169" s="23" t="str">
        <f>IF('STEP 2-WQv Calculation'!$B$4="","",'STEP 2-WQv Calculation'!$B$4)</f>
        <v/>
      </c>
      <c r="C169" s="31"/>
      <c r="D169" s="31"/>
      <c r="E169" s="32"/>
      <c r="F169" s="33"/>
      <c r="G169" s="33"/>
      <c r="H169" s="33"/>
    </row>
    <row r="170" spans="1:8" ht="13" x14ac:dyDescent="0.25">
      <c r="A170" s="331" t="s">
        <v>293</v>
      </c>
      <c r="B170" s="332"/>
      <c r="C170" s="332"/>
      <c r="D170" s="332"/>
      <c r="E170" s="332"/>
      <c r="F170" s="332"/>
      <c r="G170" s="332"/>
      <c r="H170" s="333"/>
    </row>
    <row r="171" spans="1:8" ht="38.5" x14ac:dyDescent="0.25">
      <c r="A171" s="204" t="s">
        <v>60</v>
      </c>
      <c r="B171" s="205" t="s">
        <v>61</v>
      </c>
      <c r="C171" s="205" t="s">
        <v>62</v>
      </c>
      <c r="D171" s="205" t="s">
        <v>63</v>
      </c>
      <c r="E171" s="205" t="s">
        <v>64</v>
      </c>
      <c r="F171" s="205" t="s">
        <v>65</v>
      </c>
      <c r="G171" s="205" t="s">
        <v>244</v>
      </c>
      <c r="H171" s="206" t="s">
        <v>13</v>
      </c>
    </row>
    <row r="172" spans="1:8" x14ac:dyDescent="0.25">
      <c r="A172" s="17"/>
      <c r="B172" s="18" t="str">
        <f>IF($A172="","",(LOOKUP($A172,'STEP 2-WQv Calculation'!$A$8:$A$37,'STEP 2-WQv Calculation'!$B$8:$B$37)))</f>
        <v/>
      </c>
      <c r="C172" s="18" t="str">
        <f>IF($A172="","",(LOOKUP($A172,'STEP 2-WQv Calculation'!$A$8:$A$37,'STEP 2-WQv Calculation'!$C$8:$C$37)))</f>
        <v/>
      </c>
      <c r="D172" s="53" t="str">
        <f>IF($A172="","",(LOOKUP($A172,'STEP 2-WQv Calculation'!$A$8:$A$37,'STEP 2-WQv Calculation'!$D$8:$D$37)))</f>
        <v/>
      </c>
      <c r="E172" s="18" t="str">
        <f>IF($A172="","",(LOOKUP($A172,'STEP 2-WQv Calculation'!$A$8:$A$37,'STEP 2-WQv Calculation'!$E$8:$E$37)))</f>
        <v/>
      </c>
      <c r="F172" s="42" t="str">
        <f>IF($A172="","",(LOOKUP($A172,'STEP 2-WQv Calculation'!$A$8:$A$37,'STEP 2-WQv Calculation'!$F$8:$F$37)))</f>
        <v/>
      </c>
      <c r="G172" s="18">
        <f>'STEP 2-WQv Calculation'!B61</f>
        <v>0</v>
      </c>
      <c r="H172" s="29" t="str">
        <f>IF($A172="","",(LOOKUP($A172,'STEP 2-WQv Calculation'!$A$8:$A$37,'STEP 2-WQv Calculation'!$G$8:$G$37)))</f>
        <v/>
      </c>
    </row>
    <row r="173" spans="1:8" x14ac:dyDescent="0.25">
      <c r="A173" s="242" t="s">
        <v>373</v>
      </c>
      <c r="B173" s="243"/>
      <c r="C173" s="244"/>
      <c r="D173" s="369" t="s">
        <v>385</v>
      </c>
      <c r="E173" s="370"/>
      <c r="F173" s="370"/>
      <c r="G173" s="370"/>
      <c r="H173" s="371"/>
    </row>
    <row r="174" spans="1:8" ht="13" x14ac:dyDescent="0.3">
      <c r="A174" s="273" t="s">
        <v>226</v>
      </c>
      <c r="B174" s="273"/>
      <c r="C174" s="273"/>
      <c r="D174" s="273"/>
      <c r="E174" s="273"/>
      <c r="F174" s="273"/>
      <c r="G174" s="273"/>
      <c r="H174" s="273"/>
    </row>
    <row r="175" spans="1:8" x14ac:dyDescent="0.25">
      <c r="A175" s="242" t="s">
        <v>295</v>
      </c>
      <c r="B175" s="243"/>
      <c r="C175" s="244"/>
      <c r="D175" s="44"/>
      <c r="E175" s="322" t="str">
        <f>IF(D175="","",IF(AND(D173="Filtration Rain Garden",D175&lt;0.5),"Underdrain required",IF(AND(D173="Infiltration Rain Garden",D175&lt;0.5),"Does not meet design criteria. Design as Filtration Rain Garden","")))</f>
        <v/>
      </c>
      <c r="F175" s="323"/>
      <c r="G175" s="323"/>
      <c r="H175" s="324"/>
    </row>
    <row r="176" spans="1:8" x14ac:dyDescent="0.25">
      <c r="A176" s="245" t="s">
        <v>247</v>
      </c>
      <c r="B176" s="245"/>
      <c r="C176" s="245"/>
      <c r="D176" s="211"/>
      <c r="E176" s="322" t="str">
        <f>IF(D176="","This practice cannot be used for hotspot treatment",IF(D176="Yes","Does not meet design criteria",""))</f>
        <v>This practice cannot be used for hotspot treatment</v>
      </c>
      <c r="F176" s="323"/>
      <c r="G176" s="323"/>
      <c r="H176" s="324"/>
    </row>
    <row r="177" spans="1:8" x14ac:dyDescent="0.25">
      <c r="A177" s="242" t="s">
        <v>374</v>
      </c>
      <c r="B177" s="243"/>
      <c r="C177" s="244"/>
      <c r="D177" s="43"/>
      <c r="E177" s="322" t="str">
        <f>IF(D177&gt;5,"Does not meet design criteria","")</f>
        <v/>
      </c>
      <c r="F177" s="323"/>
      <c r="G177" s="323"/>
      <c r="H177" s="324"/>
    </row>
    <row r="178" spans="1:8" x14ac:dyDescent="0.25">
      <c r="A178" s="242" t="s">
        <v>375</v>
      </c>
      <c r="B178" s="243"/>
      <c r="C178" s="244"/>
      <c r="D178" s="227" t="e">
        <f>IF((B172*43560)&gt;1000,"Yes","No")</f>
        <v>#VALUE!</v>
      </c>
      <c r="E178" s="322" t="str">
        <f>IF(F172="","",IF(D178="","",IF(D178="Yes","Does not meet design criteria","")))</f>
        <v/>
      </c>
      <c r="F178" s="323"/>
      <c r="G178" s="323"/>
      <c r="H178" s="324"/>
    </row>
    <row r="179" spans="1:8" x14ac:dyDescent="0.25">
      <c r="A179" s="242" t="s">
        <v>376</v>
      </c>
      <c r="B179" s="243"/>
      <c r="C179" s="244"/>
      <c r="D179" s="43"/>
      <c r="E179" s="322" t="str">
        <f>IF(D179&gt;30,"Does not meet design criteria","")</f>
        <v/>
      </c>
      <c r="F179" s="323"/>
      <c r="G179" s="323"/>
      <c r="H179" s="324"/>
    </row>
    <row r="180" spans="1:8" x14ac:dyDescent="0.25">
      <c r="A180" s="245" t="s">
        <v>377</v>
      </c>
      <c r="B180" s="245"/>
      <c r="C180" s="245"/>
      <c r="D180" s="211"/>
      <c r="E180" s="322" t="str">
        <f>IF(D180="Yes","Does not meet design criteria","")</f>
        <v/>
      </c>
      <c r="F180" s="323"/>
      <c r="G180" s="323"/>
      <c r="H180" s="324"/>
    </row>
    <row r="181" spans="1:8" x14ac:dyDescent="0.25">
      <c r="A181" s="242" t="s">
        <v>713</v>
      </c>
      <c r="B181" s="243"/>
      <c r="C181" s="244"/>
      <c r="D181" s="43"/>
      <c r="E181" s="322" t="str">
        <f>IF(D181="","",IF(AND(D173="Infiltration Rain Garden",D181&lt;2),"Does not meet design criteria. Design as Filtration Rain Garden",IF(AND(D173="Filtration Rain Garden",D181&lt;2),"Impermeable liner required","")))</f>
        <v/>
      </c>
      <c r="F181" s="323"/>
      <c r="G181" s="323"/>
      <c r="H181" s="324"/>
    </row>
    <row r="182" spans="1:8" x14ac:dyDescent="0.25">
      <c r="A182" s="242" t="s">
        <v>297</v>
      </c>
      <c r="B182" s="243"/>
      <c r="C182" s="244"/>
      <c r="D182" s="43"/>
      <c r="E182" s="322" t="str">
        <f>IF(D182="","",IF(AND(D173="Infiltration Rain Garden",D182&lt;2),"Does not meet design criteria. Design as Filtration Rain Garden",IF(AND(D173="Filtration Rain Garden",D182&lt;2),"Impermeable liner required","")))</f>
        <v/>
      </c>
      <c r="F182" s="323"/>
      <c r="G182" s="323"/>
      <c r="H182" s="324"/>
    </row>
    <row r="183" spans="1:8" x14ac:dyDescent="0.25">
      <c r="A183" s="242" t="s">
        <v>378</v>
      </c>
      <c r="B183" s="243"/>
      <c r="C183" s="244"/>
      <c r="D183" s="43"/>
      <c r="E183" s="322" t="str">
        <f>IF(D183="","",IF(D183&lt;3,"Does not meet design criteria",""))</f>
        <v/>
      </c>
      <c r="F183" s="323"/>
      <c r="G183" s="323"/>
      <c r="H183" s="324"/>
    </row>
    <row r="184" spans="1:8" x14ac:dyDescent="0.25">
      <c r="A184" s="242" t="s">
        <v>300</v>
      </c>
      <c r="B184" s="243"/>
      <c r="C184" s="244"/>
      <c r="D184" s="43"/>
      <c r="E184" s="322" t="str">
        <f>IF(D184="","",IF(AND(D173="Filtration Rain Garden",D184&lt;10),"Does not meet design criteria",IF(AND(D173="Infiltration Rain Garden",D184&lt;6),"Does not meet design criteria","")))</f>
        <v/>
      </c>
      <c r="F184" s="323"/>
      <c r="G184" s="323"/>
      <c r="H184" s="324"/>
    </row>
    <row r="185" spans="1:8" ht="13" x14ac:dyDescent="0.25">
      <c r="A185" s="236" t="s">
        <v>232</v>
      </c>
      <c r="B185" s="237"/>
      <c r="C185" s="237"/>
      <c r="D185" s="237"/>
      <c r="E185" s="237"/>
      <c r="F185" s="237"/>
      <c r="G185" s="237"/>
      <c r="H185" s="238"/>
    </row>
    <row r="186" spans="1:8" ht="13" x14ac:dyDescent="0.25">
      <c r="A186" s="35"/>
      <c r="B186" s="36"/>
      <c r="C186" s="36"/>
      <c r="D186" s="37"/>
      <c r="E186" s="302" t="s">
        <v>256</v>
      </c>
      <c r="F186" s="302"/>
      <c r="G186" s="38" t="s">
        <v>257</v>
      </c>
      <c r="H186" s="38" t="s">
        <v>258</v>
      </c>
    </row>
    <row r="187" spans="1:8" x14ac:dyDescent="0.25">
      <c r="A187" s="289" t="s">
        <v>302</v>
      </c>
      <c r="B187" s="289"/>
      <c r="C187" s="289"/>
      <c r="D187" s="198" t="s">
        <v>303</v>
      </c>
      <c r="E187" s="334" t="str">
        <f>F172</f>
        <v/>
      </c>
      <c r="F187" s="334"/>
      <c r="G187" s="193" t="s">
        <v>2</v>
      </c>
      <c r="H187" s="219"/>
    </row>
    <row r="188" spans="1:8" x14ac:dyDescent="0.25">
      <c r="A188" s="289" t="s">
        <v>379</v>
      </c>
      <c r="B188" s="289"/>
      <c r="C188" s="289"/>
      <c r="D188" s="198" t="s">
        <v>305</v>
      </c>
      <c r="E188" s="336"/>
      <c r="F188" s="336"/>
      <c r="G188" s="193" t="s">
        <v>271</v>
      </c>
      <c r="H188" s="219" t="str">
        <f>IF(E188="","",IF(AND(D173="Filtration Rain Garden",E188&lt;1.5),"Does not meet design criteria",IF(AND(D173="Filtration Rain Garden",E188&gt;2),"Does not meet design criteria",IF(AND(D173="Infiltration Rain Garden",E188&lt;1),"Does not meet design criteria",IF(AND(D173="Infiltration Rain Garden",E188&gt;1.5),"Does not meet design criteria","")))))</f>
        <v/>
      </c>
    </row>
    <row r="189" spans="1:8" x14ac:dyDescent="0.25">
      <c r="A189" s="266" t="s">
        <v>380</v>
      </c>
      <c r="B189" s="267"/>
      <c r="C189" s="268"/>
      <c r="D189" s="198" t="s">
        <v>307</v>
      </c>
      <c r="E189" s="289">
        <v>1</v>
      </c>
      <c r="F189" s="289"/>
      <c r="G189" s="193" t="s">
        <v>308</v>
      </c>
      <c r="H189" s="219"/>
    </row>
    <row r="190" spans="1:8" x14ac:dyDescent="0.25">
      <c r="A190" s="289" t="s">
        <v>309</v>
      </c>
      <c r="B190" s="289"/>
      <c r="C190" s="289"/>
      <c r="D190" s="198" t="s">
        <v>310</v>
      </c>
      <c r="E190" s="336"/>
      <c r="F190" s="336"/>
      <c r="G190" s="193" t="s">
        <v>271</v>
      </c>
      <c r="H190" s="219" t="str">
        <f>IF(E190&gt;0.5,"Does not meet design criteia","")</f>
        <v/>
      </c>
    </row>
    <row r="191" spans="1:8" x14ac:dyDescent="0.25">
      <c r="A191" s="289" t="s">
        <v>311</v>
      </c>
      <c r="B191" s="289"/>
      <c r="C191" s="289"/>
      <c r="D191" s="198" t="s">
        <v>312</v>
      </c>
      <c r="E191" s="289">
        <v>2</v>
      </c>
      <c r="F191" s="289"/>
      <c r="G191" s="193" t="s">
        <v>313</v>
      </c>
      <c r="H191" s="219"/>
    </row>
    <row r="192" spans="1:8" x14ac:dyDescent="0.25">
      <c r="A192" s="266" t="s">
        <v>381</v>
      </c>
      <c r="B192" s="267"/>
      <c r="C192" s="268"/>
      <c r="D192" s="198" t="s">
        <v>315</v>
      </c>
      <c r="E192" s="308" t="e">
        <f>(E187*E188)/(E189*(E190+E188)*E191)</f>
        <v>#VALUE!</v>
      </c>
      <c r="F192" s="308"/>
      <c r="G192" s="193" t="s">
        <v>316</v>
      </c>
      <c r="H192" s="219"/>
    </row>
    <row r="193" spans="1:8" x14ac:dyDescent="0.25">
      <c r="A193" s="266" t="s">
        <v>382</v>
      </c>
      <c r="B193" s="267"/>
      <c r="C193" s="268"/>
      <c r="D193" s="198" t="s">
        <v>315</v>
      </c>
      <c r="E193" s="336"/>
      <c r="F193" s="336"/>
      <c r="G193" s="193" t="s">
        <v>316</v>
      </c>
      <c r="H193" s="219" t="str">
        <f>IF(E193="","",IF(E192&gt;E193,"Does not meet sizing criteria",""))</f>
        <v/>
      </c>
    </row>
    <row r="194" spans="1:8" x14ac:dyDescent="0.25">
      <c r="A194" s="266" t="s">
        <v>383</v>
      </c>
      <c r="B194" s="267"/>
      <c r="C194" s="268"/>
      <c r="D194" s="198" t="s">
        <v>384</v>
      </c>
      <c r="E194" s="367" t="str">
        <f>IF(E193="","",(E193*(E189*(E190+E188)*E191))/E188)</f>
        <v/>
      </c>
      <c r="F194" s="368"/>
      <c r="G194" s="193" t="s">
        <v>2</v>
      </c>
      <c r="H194" s="219"/>
    </row>
    <row r="195" spans="1:8" ht="13" x14ac:dyDescent="0.25">
      <c r="A195" s="236" t="s">
        <v>276</v>
      </c>
      <c r="B195" s="237"/>
      <c r="C195" s="237"/>
      <c r="D195" s="237"/>
      <c r="E195" s="237"/>
      <c r="F195" s="237"/>
      <c r="G195" s="237"/>
      <c r="H195" s="238"/>
    </row>
    <row r="196" spans="1:8" ht="13" x14ac:dyDescent="0.25">
      <c r="A196" s="335" t="s">
        <v>241</v>
      </c>
      <c r="B196" s="335"/>
      <c r="C196" s="9" t="str">
        <f>IF(A172="","",IF(D176="Yes",0,IF(B172="",0,IF(AND(D173="Infiltration Rain Garden",D175&lt;0.5),0,IF(D177&gt;5,0,IF(D178="Yes",0,IF(D179&gt;30,0,IF(D180="Yes",0,IF(AND(D173="Infiltration Rain Garden",D181&lt;2),0,IF(AND(D173="Infiltration Rain Garden",D182&lt;2),0,IF(D183&lt;3,0,IF(AND(D173="Filtration Rain Garden",D184&lt;10),0,IF(AND(D173="Infiltration Rain Garden",D184&lt;6),0,IF(AND(D173="Filtration Rain Garden",E188&lt;1.5),0,IF(AND(D173="Filtration Rain Garden",E188&gt;2),0,IF(AND(D173="Infiltration Rain Garden",E188&lt;1),0,IF(AND(D173="Infiltration Rain Garden",E188&gt;1.5),0,IF(E190&gt;0.5,0,IF(E193&lt;E192,0,IF(AND(D173="Filtration Rain Garden",(E194*0.4)&lt;=F172),(E194*0.4),IF(AND(D173="Filtration Rain Garden",(E194*0.4)&gt;F172),F172,IF(D173="Infiltration Rain Garden",F172*1))))))))))))))))))))))</f>
        <v/>
      </c>
      <c r="D196" s="310" t="s">
        <v>2</v>
      </c>
      <c r="E196" s="311"/>
      <c r="F196" s="311"/>
      <c r="G196" s="311"/>
      <c r="H196" s="312"/>
    </row>
    <row r="197" spans="1:8" ht="13" x14ac:dyDescent="0.3">
      <c r="A197" s="24" t="s">
        <v>56</v>
      </c>
      <c r="B197" s="23" t="str">
        <f>IF('STEP 2-WQv Calculation'!$B$4="","",'STEP 2-WQv Calculation'!$B$4)</f>
        <v/>
      </c>
      <c r="C197" s="31"/>
      <c r="D197" s="31"/>
      <c r="E197" s="32"/>
      <c r="F197" s="33"/>
      <c r="G197" s="33"/>
      <c r="H197" s="33"/>
    </row>
    <row r="198" spans="1:8" ht="13" x14ac:dyDescent="0.25">
      <c r="A198" s="331" t="s">
        <v>293</v>
      </c>
      <c r="B198" s="332"/>
      <c r="C198" s="332"/>
      <c r="D198" s="332"/>
      <c r="E198" s="332"/>
      <c r="F198" s="332"/>
      <c r="G198" s="332"/>
      <c r="H198" s="333"/>
    </row>
    <row r="199" spans="1:8" ht="38.5" x14ac:dyDescent="0.25">
      <c r="A199" s="204" t="s">
        <v>60</v>
      </c>
      <c r="B199" s="205" t="s">
        <v>61</v>
      </c>
      <c r="C199" s="205" t="s">
        <v>62</v>
      </c>
      <c r="D199" s="205" t="s">
        <v>63</v>
      </c>
      <c r="E199" s="205" t="s">
        <v>64</v>
      </c>
      <c r="F199" s="205" t="s">
        <v>65</v>
      </c>
      <c r="G199" s="205" t="s">
        <v>244</v>
      </c>
      <c r="H199" s="206" t="s">
        <v>13</v>
      </c>
    </row>
    <row r="200" spans="1:8" x14ac:dyDescent="0.25">
      <c r="A200" s="17"/>
      <c r="B200" s="18" t="str">
        <f>IF($A200="","",(LOOKUP($A200,'STEP 2-WQv Calculation'!$A$8:$A$37,'STEP 2-WQv Calculation'!$B$8:$B$37)))</f>
        <v/>
      </c>
      <c r="C200" s="18" t="str">
        <f>IF($A200="","",(LOOKUP($A200,'STEP 2-WQv Calculation'!$A$8:$A$37,'STEP 2-WQv Calculation'!$C$8:$C$37)))</f>
        <v/>
      </c>
      <c r="D200" s="53" t="str">
        <f>IF($A200="","",(LOOKUP($A200,'STEP 2-WQv Calculation'!$A$8:$A$37,'STEP 2-WQv Calculation'!$D$8:$D$37)))</f>
        <v/>
      </c>
      <c r="E200" s="18" t="str">
        <f>IF($A200="","",(LOOKUP($A200,'STEP 2-WQv Calculation'!$A$8:$A$37,'STEP 2-WQv Calculation'!$E$8:$E$37)))</f>
        <v/>
      </c>
      <c r="F200" s="42" t="str">
        <f>IF($A200="","",(LOOKUP($A200,'STEP 2-WQv Calculation'!$A$8:$A$37,'STEP 2-WQv Calculation'!$F$8:$F$37)))</f>
        <v/>
      </c>
      <c r="G200" s="18">
        <f>'STEP 2-WQv Calculation'!B89</f>
        <v>0</v>
      </c>
      <c r="H200" s="29" t="str">
        <f>IF($A200="","",(LOOKUP($A200,'STEP 2-WQv Calculation'!$A$8:$A$37,'STEP 2-WQv Calculation'!$G$8:$G$37)))</f>
        <v/>
      </c>
    </row>
    <row r="201" spans="1:8" x14ac:dyDescent="0.25">
      <c r="A201" s="242" t="s">
        <v>373</v>
      </c>
      <c r="B201" s="243"/>
      <c r="C201" s="244"/>
      <c r="D201" s="369" t="s">
        <v>385</v>
      </c>
      <c r="E201" s="370"/>
      <c r="F201" s="370"/>
      <c r="G201" s="370"/>
      <c r="H201" s="371"/>
    </row>
    <row r="202" spans="1:8" ht="13" x14ac:dyDescent="0.3">
      <c r="A202" s="273" t="s">
        <v>226</v>
      </c>
      <c r="B202" s="273"/>
      <c r="C202" s="273"/>
      <c r="D202" s="273"/>
      <c r="E202" s="273"/>
      <c r="F202" s="273"/>
      <c r="G202" s="273"/>
      <c r="H202" s="273"/>
    </row>
    <row r="203" spans="1:8" x14ac:dyDescent="0.25">
      <c r="A203" s="242" t="s">
        <v>295</v>
      </c>
      <c r="B203" s="243"/>
      <c r="C203" s="244"/>
      <c r="D203" s="44"/>
      <c r="E203" s="322" t="str">
        <f>IF(D203="","",IF(AND(D201="Filtration Rain Garden",D203&lt;0.5),"Underdrain required",IF(AND(D201="Infiltration Rain Garden",D203&lt;0.5),"Does not meet design criteria. Design as Filtration Rain Garden","")))</f>
        <v/>
      </c>
      <c r="F203" s="323"/>
      <c r="G203" s="323"/>
      <c r="H203" s="324"/>
    </row>
    <row r="204" spans="1:8" x14ac:dyDescent="0.25">
      <c r="A204" s="245" t="s">
        <v>247</v>
      </c>
      <c r="B204" s="245"/>
      <c r="C204" s="245"/>
      <c r="D204" s="211"/>
      <c r="E204" s="322" t="str">
        <f>IF(D204="","This practice cannot be used for hotspot treatment",IF(D204="Yes","Does not meet design criteria",""))</f>
        <v>This practice cannot be used for hotspot treatment</v>
      </c>
      <c r="F204" s="323"/>
      <c r="G204" s="323"/>
      <c r="H204" s="324"/>
    </row>
    <row r="205" spans="1:8" x14ac:dyDescent="0.25">
      <c r="A205" s="242" t="s">
        <v>374</v>
      </c>
      <c r="B205" s="243"/>
      <c r="C205" s="244"/>
      <c r="D205" s="43"/>
      <c r="E205" s="322" t="str">
        <f>IF(D205&gt;5,"Does not meet design criteria","")</f>
        <v/>
      </c>
      <c r="F205" s="323"/>
      <c r="G205" s="323"/>
      <c r="H205" s="324"/>
    </row>
    <row r="206" spans="1:8" x14ac:dyDescent="0.25">
      <c r="A206" s="242" t="s">
        <v>375</v>
      </c>
      <c r="B206" s="243"/>
      <c r="C206" s="244"/>
      <c r="D206" s="227" t="e">
        <f>IF((B200*43560)&gt;1000,"Yes","No")</f>
        <v>#VALUE!</v>
      </c>
      <c r="E206" s="322" t="str">
        <f>IF(F200="","",IF(D206="","",IF(D206="Yes","Does not meet design criteria","")))</f>
        <v/>
      </c>
      <c r="F206" s="323"/>
      <c r="G206" s="323"/>
      <c r="H206" s="324"/>
    </row>
    <row r="207" spans="1:8" x14ac:dyDescent="0.25">
      <c r="A207" s="242" t="s">
        <v>376</v>
      </c>
      <c r="B207" s="243"/>
      <c r="C207" s="244"/>
      <c r="D207" s="43"/>
      <c r="E207" s="322" t="str">
        <f>IF(D207&gt;30,"Does not meet design criteria","")</f>
        <v/>
      </c>
      <c r="F207" s="323"/>
      <c r="G207" s="323"/>
      <c r="H207" s="324"/>
    </row>
    <row r="208" spans="1:8" x14ac:dyDescent="0.25">
      <c r="A208" s="245" t="s">
        <v>377</v>
      </c>
      <c r="B208" s="245"/>
      <c r="C208" s="245"/>
      <c r="D208" s="211"/>
      <c r="E208" s="322" t="str">
        <f>IF(D208="Yes","Does not meet design criteria","")</f>
        <v/>
      </c>
      <c r="F208" s="323"/>
      <c r="G208" s="323"/>
      <c r="H208" s="324"/>
    </row>
    <row r="209" spans="1:8" x14ac:dyDescent="0.25">
      <c r="A209" s="242" t="s">
        <v>713</v>
      </c>
      <c r="B209" s="243"/>
      <c r="C209" s="244"/>
      <c r="D209" s="43"/>
      <c r="E209" s="322" t="str">
        <f>IF(D209="","",IF(AND(D201="Infiltration Rain Garden",D209&lt;2),"Does not meet design criteria. Design as Filtration Rain Garden",IF(AND(D201="Filtration Rain Garden",D209&lt;2),"Impermeable liner required","")))</f>
        <v/>
      </c>
      <c r="F209" s="323"/>
      <c r="G209" s="323"/>
      <c r="H209" s="324"/>
    </row>
    <row r="210" spans="1:8" x14ac:dyDescent="0.25">
      <c r="A210" s="242" t="s">
        <v>297</v>
      </c>
      <c r="B210" s="243"/>
      <c r="C210" s="244"/>
      <c r="D210" s="43"/>
      <c r="E210" s="322" t="str">
        <f>IF(D210="","",IF(AND(D201="Infiltration Rain Garden",D210&lt;2),"Does not meet design criteria. Design as Filtration Rain Garden",IF(AND(D201="Filtration Rain Garden",D210&lt;2),"Impermeable liner required","")))</f>
        <v/>
      </c>
      <c r="F210" s="323"/>
      <c r="G210" s="323"/>
      <c r="H210" s="324"/>
    </row>
    <row r="211" spans="1:8" x14ac:dyDescent="0.25">
      <c r="A211" s="242" t="s">
        <v>378</v>
      </c>
      <c r="B211" s="243"/>
      <c r="C211" s="244"/>
      <c r="D211" s="43"/>
      <c r="E211" s="322" t="str">
        <f>IF(D211="","",IF(D211&lt;3,"Does not meet design criteria",""))</f>
        <v/>
      </c>
      <c r="F211" s="323"/>
      <c r="G211" s="323"/>
      <c r="H211" s="324"/>
    </row>
    <row r="212" spans="1:8" x14ac:dyDescent="0.25">
      <c r="A212" s="242" t="s">
        <v>300</v>
      </c>
      <c r="B212" s="243"/>
      <c r="C212" s="244"/>
      <c r="D212" s="43"/>
      <c r="E212" s="322" t="str">
        <f>IF(D212="","",IF(AND(D201="Filtration Rain Garden",D212&lt;10),"Does not meet design criteria",IF(AND(D201="Infiltration Rain Garden",D212&lt;6),"Does not meet design criteria","")))</f>
        <v/>
      </c>
      <c r="F212" s="323"/>
      <c r="G212" s="323"/>
      <c r="H212" s="324"/>
    </row>
    <row r="213" spans="1:8" ht="13" x14ac:dyDescent="0.25">
      <c r="A213" s="236" t="s">
        <v>232</v>
      </c>
      <c r="B213" s="237"/>
      <c r="C213" s="237"/>
      <c r="D213" s="237"/>
      <c r="E213" s="237"/>
      <c r="F213" s="237"/>
      <c r="G213" s="237"/>
      <c r="H213" s="238"/>
    </row>
    <row r="214" spans="1:8" ht="13" x14ac:dyDescent="0.25">
      <c r="A214" s="35"/>
      <c r="B214" s="36"/>
      <c r="C214" s="36"/>
      <c r="D214" s="37"/>
      <c r="E214" s="302" t="s">
        <v>256</v>
      </c>
      <c r="F214" s="302"/>
      <c r="G214" s="38" t="s">
        <v>257</v>
      </c>
      <c r="H214" s="38" t="s">
        <v>258</v>
      </c>
    </row>
    <row r="215" spans="1:8" x14ac:dyDescent="0.25">
      <c r="A215" s="289" t="s">
        <v>302</v>
      </c>
      <c r="B215" s="289"/>
      <c r="C215" s="289"/>
      <c r="D215" s="198" t="s">
        <v>303</v>
      </c>
      <c r="E215" s="334" t="str">
        <f>F200</f>
        <v/>
      </c>
      <c r="F215" s="334"/>
      <c r="G215" s="193" t="s">
        <v>2</v>
      </c>
      <c r="H215" s="219"/>
    </row>
    <row r="216" spans="1:8" x14ac:dyDescent="0.25">
      <c r="A216" s="289" t="s">
        <v>379</v>
      </c>
      <c r="B216" s="289"/>
      <c r="C216" s="289"/>
      <c r="D216" s="198" t="s">
        <v>305</v>
      </c>
      <c r="E216" s="336"/>
      <c r="F216" s="336"/>
      <c r="G216" s="193" t="s">
        <v>271</v>
      </c>
      <c r="H216" s="219" t="str">
        <f>IF(E216="","",IF(AND(D201="Filtration Rain Garden",E216&lt;1.5),"Does not meet design criteria",IF(AND(D201="Filtration Rain Garden",E216&gt;2),"Does not meet design criteria",IF(AND(D201="Infiltration Rain Garden",E216&lt;1),"Does not meet design criteria",IF(AND(D201="Infiltration Rain Garden",E216&gt;1.5),"Does not meet design criteria","")))))</f>
        <v/>
      </c>
    </row>
    <row r="217" spans="1:8" x14ac:dyDescent="0.25">
      <c r="A217" s="266" t="s">
        <v>380</v>
      </c>
      <c r="B217" s="267"/>
      <c r="C217" s="268"/>
      <c r="D217" s="198" t="s">
        <v>307</v>
      </c>
      <c r="E217" s="289">
        <v>1</v>
      </c>
      <c r="F217" s="289"/>
      <c r="G217" s="193" t="s">
        <v>308</v>
      </c>
      <c r="H217" s="219"/>
    </row>
    <row r="218" spans="1:8" x14ac:dyDescent="0.25">
      <c r="A218" s="289" t="s">
        <v>309</v>
      </c>
      <c r="B218" s="289"/>
      <c r="C218" s="289"/>
      <c r="D218" s="198" t="s">
        <v>310</v>
      </c>
      <c r="E218" s="336"/>
      <c r="F218" s="336"/>
      <c r="G218" s="193" t="s">
        <v>271</v>
      </c>
      <c r="H218" s="219" t="str">
        <f>IF(E218&gt;0.5,"Does not meet design criteia","")</f>
        <v/>
      </c>
    </row>
    <row r="219" spans="1:8" x14ac:dyDescent="0.25">
      <c r="A219" s="289" t="s">
        <v>311</v>
      </c>
      <c r="B219" s="289"/>
      <c r="C219" s="289"/>
      <c r="D219" s="198" t="s">
        <v>312</v>
      </c>
      <c r="E219" s="289">
        <v>2</v>
      </c>
      <c r="F219" s="289"/>
      <c r="G219" s="193" t="s">
        <v>313</v>
      </c>
      <c r="H219" s="219"/>
    </row>
    <row r="220" spans="1:8" x14ac:dyDescent="0.25">
      <c r="A220" s="266" t="s">
        <v>381</v>
      </c>
      <c r="B220" s="267"/>
      <c r="C220" s="268"/>
      <c r="D220" s="198" t="s">
        <v>315</v>
      </c>
      <c r="E220" s="308" t="e">
        <f>(E215*E216)/(E217*(E218+E216)*E219)</f>
        <v>#VALUE!</v>
      </c>
      <c r="F220" s="308"/>
      <c r="G220" s="193" t="s">
        <v>316</v>
      </c>
      <c r="H220" s="219"/>
    </row>
    <row r="221" spans="1:8" x14ac:dyDescent="0.25">
      <c r="A221" s="266" t="s">
        <v>382</v>
      </c>
      <c r="B221" s="267"/>
      <c r="C221" s="268"/>
      <c r="D221" s="198" t="s">
        <v>315</v>
      </c>
      <c r="E221" s="336"/>
      <c r="F221" s="336"/>
      <c r="G221" s="193" t="s">
        <v>316</v>
      </c>
      <c r="H221" s="219" t="str">
        <f>IF(E221="","",IF(E220&gt;E221,"Does not meet sizing criteria",""))</f>
        <v/>
      </c>
    </row>
    <row r="222" spans="1:8" x14ac:dyDescent="0.25">
      <c r="A222" s="266" t="s">
        <v>383</v>
      </c>
      <c r="B222" s="267"/>
      <c r="C222" s="268"/>
      <c r="D222" s="198" t="s">
        <v>384</v>
      </c>
      <c r="E222" s="367" t="str">
        <f>IF(E221="","",(E221*(E217*(E218+E216)*E219))/E216)</f>
        <v/>
      </c>
      <c r="F222" s="368"/>
      <c r="G222" s="193" t="s">
        <v>2</v>
      </c>
      <c r="H222" s="219"/>
    </row>
    <row r="223" spans="1:8" ht="13" x14ac:dyDescent="0.25">
      <c r="A223" s="236" t="s">
        <v>276</v>
      </c>
      <c r="B223" s="237"/>
      <c r="C223" s="237"/>
      <c r="D223" s="237"/>
      <c r="E223" s="237"/>
      <c r="F223" s="237"/>
      <c r="G223" s="237"/>
      <c r="H223" s="238"/>
    </row>
    <row r="224" spans="1:8" ht="13" x14ac:dyDescent="0.25">
      <c r="A224" s="335" t="s">
        <v>241</v>
      </c>
      <c r="B224" s="335"/>
      <c r="C224" s="9" t="str">
        <f>IF(A200="","",IF(D204="Yes",0,IF(B200="",0,IF(AND(D201="Infiltration Rain Garden",D203&lt;0.5),0,IF(D205&gt;5,0,IF(D206="Yes",0,IF(D207&gt;30,0,IF(D208="Yes",0,IF(AND(D201="Infiltration Rain Garden",D209&lt;2),0,IF(AND(D201="Infiltration Rain Garden",D210&lt;2),0,IF(D211&lt;3,0,IF(AND(D201="Filtration Rain Garden",D212&lt;10),0,IF(AND(D201="Infiltration Rain Garden",D212&lt;6),0,IF(AND(D201="Filtration Rain Garden",E216&lt;1.5),0,IF(AND(D201="Filtration Rain Garden",E216&gt;2),0,IF(AND(D201="Infiltration Rain Garden",E216&lt;1),0,IF(AND(D201="Infiltration Rain Garden",E216&gt;1.5),0,IF(E218&gt;0.5,0,IF(E221&lt;E220,0,IF(AND(D201="Filtration Rain Garden",(E222*0.4)&lt;=F200),(E222*0.4),IF(AND(D201="Filtration Rain Garden",(E222*0.4)&gt;F200),F200,IF(D201="Infiltration Rain Garden",F200*1))))))))))))))))))))))</f>
        <v/>
      </c>
      <c r="D224" s="310" t="s">
        <v>2</v>
      </c>
      <c r="E224" s="311"/>
      <c r="F224" s="311"/>
      <c r="G224" s="311"/>
      <c r="H224" s="312"/>
    </row>
    <row r="225" spans="1:8" ht="13" x14ac:dyDescent="0.3">
      <c r="A225" s="24" t="s">
        <v>56</v>
      </c>
      <c r="B225" s="23" t="str">
        <f>IF('STEP 2-WQv Calculation'!$B$4="","",'STEP 2-WQv Calculation'!$B$4)</f>
        <v/>
      </c>
      <c r="C225" s="31"/>
      <c r="D225" s="31"/>
      <c r="E225" s="32"/>
      <c r="F225" s="33"/>
      <c r="G225" s="33"/>
      <c r="H225" s="33"/>
    </row>
    <row r="226" spans="1:8" ht="13" x14ac:dyDescent="0.25">
      <c r="A226" s="331" t="s">
        <v>293</v>
      </c>
      <c r="B226" s="332"/>
      <c r="C226" s="332"/>
      <c r="D226" s="332"/>
      <c r="E226" s="332"/>
      <c r="F226" s="332"/>
      <c r="G226" s="332"/>
      <c r="H226" s="333"/>
    </row>
    <row r="227" spans="1:8" ht="38.5" x14ac:dyDescent="0.25">
      <c r="A227" s="204" t="s">
        <v>60</v>
      </c>
      <c r="B227" s="205" t="s">
        <v>61</v>
      </c>
      <c r="C227" s="205" t="s">
        <v>62</v>
      </c>
      <c r="D227" s="205" t="s">
        <v>63</v>
      </c>
      <c r="E227" s="205" t="s">
        <v>64</v>
      </c>
      <c r="F227" s="205" t="s">
        <v>65</v>
      </c>
      <c r="G227" s="205" t="s">
        <v>244</v>
      </c>
      <c r="H227" s="206" t="s">
        <v>13</v>
      </c>
    </row>
    <row r="228" spans="1:8" x14ac:dyDescent="0.25">
      <c r="A228" s="17"/>
      <c r="B228" s="18" t="str">
        <f>IF($A228="","",(LOOKUP($A228,'STEP 2-WQv Calculation'!$A$8:$A$37,'STEP 2-WQv Calculation'!$B$8:$B$37)))</f>
        <v/>
      </c>
      <c r="C228" s="18" t="str">
        <f>IF($A228="","",(LOOKUP($A228,'STEP 2-WQv Calculation'!$A$8:$A$37,'STEP 2-WQv Calculation'!$C$8:$C$37)))</f>
        <v/>
      </c>
      <c r="D228" s="53" t="str">
        <f>IF($A228="","",(LOOKUP($A228,'STEP 2-WQv Calculation'!$A$8:$A$37,'STEP 2-WQv Calculation'!$D$8:$D$37)))</f>
        <v/>
      </c>
      <c r="E228" s="18" t="str">
        <f>IF($A228="","",(LOOKUP($A228,'STEP 2-WQv Calculation'!$A$8:$A$37,'STEP 2-WQv Calculation'!$E$8:$E$37)))</f>
        <v/>
      </c>
      <c r="F228" s="42" t="str">
        <f>IF($A228="","",(LOOKUP($A228,'STEP 2-WQv Calculation'!$A$8:$A$37,'STEP 2-WQv Calculation'!$F$8:$F$37)))</f>
        <v/>
      </c>
      <c r="G228" s="18">
        <f>'STEP 2-WQv Calculation'!B117</f>
        <v>0</v>
      </c>
      <c r="H228" s="29" t="str">
        <f>IF($A228="","",(LOOKUP($A228,'STEP 2-WQv Calculation'!$A$8:$A$37,'STEP 2-WQv Calculation'!$G$8:$G$37)))</f>
        <v/>
      </c>
    </row>
    <row r="229" spans="1:8" x14ac:dyDescent="0.25">
      <c r="A229" s="242" t="s">
        <v>373</v>
      </c>
      <c r="B229" s="243"/>
      <c r="C229" s="244"/>
      <c r="D229" s="369" t="s">
        <v>385</v>
      </c>
      <c r="E229" s="370"/>
      <c r="F229" s="370"/>
      <c r="G229" s="370"/>
      <c r="H229" s="371"/>
    </row>
    <row r="230" spans="1:8" ht="13" x14ac:dyDescent="0.3">
      <c r="A230" s="273" t="s">
        <v>226</v>
      </c>
      <c r="B230" s="273"/>
      <c r="C230" s="273"/>
      <c r="D230" s="273"/>
      <c r="E230" s="273"/>
      <c r="F230" s="273"/>
      <c r="G230" s="273"/>
      <c r="H230" s="273"/>
    </row>
    <row r="231" spans="1:8" x14ac:dyDescent="0.25">
      <c r="A231" s="242" t="s">
        <v>295</v>
      </c>
      <c r="B231" s="243"/>
      <c r="C231" s="244"/>
      <c r="D231" s="44"/>
      <c r="E231" s="322" t="str">
        <f>IF(D231="","",IF(AND(D229="Filtration Rain Garden",D231&lt;0.5),"Underdrain required",IF(AND(D229="Infiltration Rain Garden",D231&lt;0.5),"Does not meet design criteria. Design as Filtration Rain Garden","")))</f>
        <v/>
      </c>
      <c r="F231" s="323"/>
      <c r="G231" s="323"/>
      <c r="H231" s="324"/>
    </row>
    <row r="232" spans="1:8" x14ac:dyDescent="0.25">
      <c r="A232" s="245" t="s">
        <v>247</v>
      </c>
      <c r="B232" s="245"/>
      <c r="C232" s="245"/>
      <c r="D232" s="211"/>
      <c r="E232" s="322" t="str">
        <f>IF(D232="","This practice cannot be used for hotspot treatment",IF(D232="Yes","Does not meet design criteria",""))</f>
        <v>This practice cannot be used for hotspot treatment</v>
      </c>
      <c r="F232" s="323"/>
      <c r="G232" s="323"/>
      <c r="H232" s="324"/>
    </row>
    <row r="233" spans="1:8" x14ac:dyDescent="0.25">
      <c r="A233" s="242" t="s">
        <v>374</v>
      </c>
      <c r="B233" s="243"/>
      <c r="C233" s="244"/>
      <c r="D233" s="43"/>
      <c r="E233" s="322" t="str">
        <f>IF(D233&gt;5,"Does not meet design criteria","")</f>
        <v/>
      </c>
      <c r="F233" s="323"/>
      <c r="G233" s="323"/>
      <c r="H233" s="324"/>
    </row>
    <row r="234" spans="1:8" x14ac:dyDescent="0.25">
      <c r="A234" s="242" t="s">
        <v>375</v>
      </c>
      <c r="B234" s="243"/>
      <c r="C234" s="244"/>
      <c r="D234" s="227" t="e">
        <f>IF((B228*43560)&gt;1000,"Yes","No")</f>
        <v>#VALUE!</v>
      </c>
      <c r="E234" s="322" t="str">
        <f>IF(F228="","",IF(D234="","",IF(D234="Yes","Does not meet design criteria","")))</f>
        <v/>
      </c>
      <c r="F234" s="323"/>
      <c r="G234" s="323"/>
      <c r="H234" s="324"/>
    </row>
    <row r="235" spans="1:8" x14ac:dyDescent="0.25">
      <c r="A235" s="242" t="s">
        <v>376</v>
      </c>
      <c r="B235" s="243"/>
      <c r="C235" s="244"/>
      <c r="D235" s="43"/>
      <c r="E235" s="322" t="str">
        <f>IF(D235&gt;30,"Does not meet design criteria","")</f>
        <v/>
      </c>
      <c r="F235" s="323"/>
      <c r="G235" s="323"/>
      <c r="H235" s="324"/>
    </row>
    <row r="236" spans="1:8" x14ac:dyDescent="0.25">
      <c r="A236" s="245" t="s">
        <v>377</v>
      </c>
      <c r="B236" s="245"/>
      <c r="C236" s="245"/>
      <c r="D236" s="211"/>
      <c r="E236" s="322" t="str">
        <f>IF(D236="Yes","Does not meet design criteria","")</f>
        <v/>
      </c>
      <c r="F236" s="323"/>
      <c r="G236" s="323"/>
      <c r="H236" s="324"/>
    </row>
    <row r="237" spans="1:8" x14ac:dyDescent="0.25">
      <c r="A237" s="242" t="s">
        <v>713</v>
      </c>
      <c r="B237" s="243"/>
      <c r="C237" s="244"/>
      <c r="D237" s="43"/>
      <c r="E237" s="322" t="str">
        <f>IF(D237="","",IF(AND(D229="Infiltration Rain Garden",D237&lt;2),"Does not meet design criteria. Design as Filtration Rain Garden",IF(AND(D229="Filtration Rain Garden",D237&lt;2),"Impermeable liner required","")))</f>
        <v/>
      </c>
      <c r="F237" s="323"/>
      <c r="G237" s="323"/>
      <c r="H237" s="324"/>
    </row>
    <row r="238" spans="1:8" x14ac:dyDescent="0.25">
      <c r="A238" s="242" t="s">
        <v>297</v>
      </c>
      <c r="B238" s="243"/>
      <c r="C238" s="244"/>
      <c r="D238" s="43"/>
      <c r="E238" s="322" t="str">
        <f>IF(D238="","",IF(AND(D229="Infiltration Rain Garden",D238&lt;2),"Does not meet design criteria. Design as Filtration Rain Garden",IF(AND(D229="Filtration Rain Garden",D238&lt;2),"Impermeable liner required","")))</f>
        <v/>
      </c>
      <c r="F238" s="323"/>
      <c r="G238" s="323"/>
      <c r="H238" s="324"/>
    </row>
    <row r="239" spans="1:8" x14ac:dyDescent="0.25">
      <c r="A239" s="242" t="s">
        <v>378</v>
      </c>
      <c r="B239" s="243"/>
      <c r="C239" s="244"/>
      <c r="D239" s="43"/>
      <c r="E239" s="322" t="str">
        <f>IF(D239="","",IF(D239&lt;3,"Does not meet design criteria",""))</f>
        <v/>
      </c>
      <c r="F239" s="323"/>
      <c r="G239" s="323"/>
      <c r="H239" s="324"/>
    </row>
    <row r="240" spans="1:8" x14ac:dyDescent="0.25">
      <c r="A240" s="242" t="s">
        <v>300</v>
      </c>
      <c r="B240" s="243"/>
      <c r="C240" s="244"/>
      <c r="D240" s="43"/>
      <c r="E240" s="322" t="str">
        <f>IF(D240="","",IF(AND(D229="Filtration Rain Garden",D240&lt;10),"Does not meet design criteria",IF(AND(D229="Infiltration Rain Garden",D240&lt;6),"Does not meet design criteria","")))</f>
        <v/>
      </c>
      <c r="F240" s="323"/>
      <c r="G240" s="323"/>
      <c r="H240" s="324"/>
    </row>
    <row r="241" spans="1:8" ht="13" x14ac:dyDescent="0.25">
      <c r="A241" s="236" t="s">
        <v>232</v>
      </c>
      <c r="B241" s="237"/>
      <c r="C241" s="237"/>
      <c r="D241" s="237"/>
      <c r="E241" s="237"/>
      <c r="F241" s="237"/>
      <c r="G241" s="237"/>
      <c r="H241" s="238"/>
    </row>
    <row r="242" spans="1:8" ht="13" x14ac:dyDescent="0.25">
      <c r="A242" s="35"/>
      <c r="B242" s="36"/>
      <c r="C242" s="36"/>
      <c r="D242" s="37"/>
      <c r="E242" s="302" t="s">
        <v>256</v>
      </c>
      <c r="F242" s="302"/>
      <c r="G242" s="38" t="s">
        <v>257</v>
      </c>
      <c r="H242" s="38" t="s">
        <v>258</v>
      </c>
    </row>
    <row r="243" spans="1:8" x14ac:dyDescent="0.25">
      <c r="A243" s="289" t="s">
        <v>302</v>
      </c>
      <c r="B243" s="289"/>
      <c r="C243" s="289"/>
      <c r="D243" s="198" t="s">
        <v>303</v>
      </c>
      <c r="E243" s="334" t="str">
        <f>F228</f>
        <v/>
      </c>
      <c r="F243" s="334"/>
      <c r="G243" s="193" t="s">
        <v>2</v>
      </c>
      <c r="H243" s="219"/>
    </row>
    <row r="244" spans="1:8" x14ac:dyDescent="0.25">
      <c r="A244" s="289" t="s">
        <v>379</v>
      </c>
      <c r="B244" s="289"/>
      <c r="C244" s="289"/>
      <c r="D244" s="198" t="s">
        <v>305</v>
      </c>
      <c r="E244" s="336"/>
      <c r="F244" s="336"/>
      <c r="G244" s="193" t="s">
        <v>271</v>
      </c>
      <c r="H244" s="219" t="str">
        <f>IF(E244="","",IF(AND(D229="Filtration Rain Garden",E244&lt;1.5),"Does not meet design criteria",IF(AND(D229="Filtration Rain Garden",E244&gt;2),"Does not meet design criteria",IF(AND(D229="Infiltration Rain Garden",E244&lt;1),"Does not meet design criteria",IF(AND(D229="Infiltration Rain Garden",E244&gt;1.5),"Does not meet design criteria","")))))</f>
        <v/>
      </c>
    </row>
    <row r="245" spans="1:8" x14ac:dyDescent="0.25">
      <c r="A245" s="266" t="s">
        <v>380</v>
      </c>
      <c r="B245" s="267"/>
      <c r="C245" s="268"/>
      <c r="D245" s="198" t="s">
        <v>307</v>
      </c>
      <c r="E245" s="289">
        <v>1</v>
      </c>
      <c r="F245" s="289"/>
      <c r="G245" s="193" t="s">
        <v>308</v>
      </c>
      <c r="H245" s="219"/>
    </row>
    <row r="246" spans="1:8" x14ac:dyDescent="0.25">
      <c r="A246" s="289" t="s">
        <v>309</v>
      </c>
      <c r="B246" s="289"/>
      <c r="C246" s="289"/>
      <c r="D246" s="198" t="s">
        <v>310</v>
      </c>
      <c r="E246" s="336"/>
      <c r="F246" s="336"/>
      <c r="G246" s="193" t="s">
        <v>271</v>
      </c>
      <c r="H246" s="219" t="str">
        <f>IF(E246&gt;0.5,"Does not meet design criteia","")</f>
        <v/>
      </c>
    </row>
    <row r="247" spans="1:8" x14ac:dyDescent="0.25">
      <c r="A247" s="289" t="s">
        <v>311</v>
      </c>
      <c r="B247" s="289"/>
      <c r="C247" s="289"/>
      <c r="D247" s="198" t="s">
        <v>312</v>
      </c>
      <c r="E247" s="289">
        <v>2</v>
      </c>
      <c r="F247" s="289"/>
      <c r="G247" s="193" t="s">
        <v>313</v>
      </c>
      <c r="H247" s="219"/>
    </row>
    <row r="248" spans="1:8" x14ac:dyDescent="0.25">
      <c r="A248" s="266" t="s">
        <v>381</v>
      </c>
      <c r="B248" s="267"/>
      <c r="C248" s="268"/>
      <c r="D248" s="198" t="s">
        <v>315</v>
      </c>
      <c r="E248" s="308" t="e">
        <f>(E243*E244)/(E245*(E246+E244)*E247)</f>
        <v>#VALUE!</v>
      </c>
      <c r="F248" s="308"/>
      <c r="G248" s="193" t="s">
        <v>316</v>
      </c>
      <c r="H248" s="219"/>
    </row>
    <row r="249" spans="1:8" x14ac:dyDescent="0.25">
      <c r="A249" s="266" t="s">
        <v>382</v>
      </c>
      <c r="B249" s="267"/>
      <c r="C249" s="268"/>
      <c r="D249" s="198" t="s">
        <v>315</v>
      </c>
      <c r="E249" s="336"/>
      <c r="F249" s="336"/>
      <c r="G249" s="193" t="s">
        <v>316</v>
      </c>
      <c r="H249" s="219" t="str">
        <f>IF(E249="","",IF(E248&gt;E249,"Does not meet sizing criteria",""))</f>
        <v/>
      </c>
    </row>
    <row r="250" spans="1:8" x14ac:dyDescent="0.25">
      <c r="A250" s="266" t="s">
        <v>383</v>
      </c>
      <c r="B250" s="267"/>
      <c r="C250" s="268"/>
      <c r="D250" s="198" t="s">
        <v>384</v>
      </c>
      <c r="E250" s="367" t="str">
        <f>IF(E249="","",(E249*(E245*(E246+E244)*E247))/E244)</f>
        <v/>
      </c>
      <c r="F250" s="368"/>
      <c r="G250" s="193" t="s">
        <v>2</v>
      </c>
      <c r="H250" s="219"/>
    </row>
    <row r="251" spans="1:8" ht="13" x14ac:dyDescent="0.25">
      <c r="A251" s="236" t="s">
        <v>276</v>
      </c>
      <c r="B251" s="237"/>
      <c r="C251" s="237"/>
      <c r="D251" s="237"/>
      <c r="E251" s="237"/>
      <c r="F251" s="237"/>
      <c r="G251" s="237"/>
      <c r="H251" s="238"/>
    </row>
    <row r="252" spans="1:8" ht="13" x14ac:dyDescent="0.25">
      <c r="A252" s="335" t="s">
        <v>241</v>
      </c>
      <c r="B252" s="335"/>
      <c r="C252" s="9" t="str">
        <f>IF(A228="","",IF(D232="Yes",0,IF(B228="",0,IF(AND(D229="Infiltration Rain Garden",D231&lt;0.5),0,IF(D233&gt;5,0,IF(D234="Yes",0,IF(D235&gt;30,0,IF(D236="Yes",0,IF(AND(D229="Infiltration Rain Garden",D237&lt;2),0,IF(AND(D229="Infiltration Rain Garden",D238&lt;2),0,IF(D239&lt;3,0,IF(AND(D229="Filtration Rain Garden",D240&lt;10),0,IF(AND(D229="Infiltration Rain Garden",D240&lt;6),0,IF(AND(D229="Filtration Rain Garden",E244&lt;1.5),0,IF(AND(D229="Filtration Rain Garden",E244&gt;2),0,IF(AND(D229="Infiltration Rain Garden",E244&lt;1),0,IF(AND(D229="Infiltration Rain Garden",E244&gt;1.5),0,IF(E246&gt;0.5,0,IF(E249&lt;E248,0,IF(AND(D229="Filtration Rain Garden",(E250*0.4)&lt;=F228),(E250*0.4),IF(AND(D229="Filtration Rain Garden",(E250*0.4)&gt;F228),F228,IF(D229="Infiltration Rain Garden",F228*1))))))))))))))))))))))</f>
        <v/>
      </c>
      <c r="D252" s="310" t="s">
        <v>2</v>
      </c>
      <c r="E252" s="311"/>
      <c r="F252" s="311"/>
      <c r="G252" s="311"/>
      <c r="H252" s="312"/>
    </row>
    <row r="253" spans="1:8" ht="13" x14ac:dyDescent="0.3">
      <c r="A253" s="24" t="s">
        <v>56</v>
      </c>
      <c r="B253" s="23" t="str">
        <f>IF('STEP 2-WQv Calculation'!$B$4="","",'STEP 2-WQv Calculation'!$B$4)</f>
        <v/>
      </c>
      <c r="C253" s="31"/>
      <c r="D253" s="31"/>
      <c r="E253" s="32"/>
      <c r="F253" s="33"/>
      <c r="G253" s="33"/>
      <c r="H253" s="33"/>
    </row>
    <row r="254" spans="1:8" ht="13" x14ac:dyDescent="0.25">
      <c r="A254" s="331" t="s">
        <v>293</v>
      </c>
      <c r="B254" s="332"/>
      <c r="C254" s="332"/>
      <c r="D254" s="332"/>
      <c r="E254" s="332"/>
      <c r="F254" s="332"/>
      <c r="G254" s="332"/>
      <c r="H254" s="333"/>
    </row>
    <row r="255" spans="1:8" ht="38.5" x14ac:dyDescent="0.25">
      <c r="A255" s="204" t="s">
        <v>60</v>
      </c>
      <c r="B255" s="205" t="s">
        <v>61</v>
      </c>
      <c r="C255" s="205" t="s">
        <v>62</v>
      </c>
      <c r="D255" s="205" t="s">
        <v>63</v>
      </c>
      <c r="E255" s="205" t="s">
        <v>64</v>
      </c>
      <c r="F255" s="205" t="s">
        <v>65</v>
      </c>
      <c r="G255" s="205" t="s">
        <v>244</v>
      </c>
      <c r="H255" s="206" t="s">
        <v>13</v>
      </c>
    </row>
    <row r="256" spans="1:8" x14ac:dyDescent="0.25">
      <c r="A256" s="17"/>
      <c r="B256" s="18" t="str">
        <f>IF($A256="","",(LOOKUP($A256,'STEP 2-WQv Calculation'!$A$8:$A$37,'STEP 2-WQv Calculation'!$B$8:$B$37)))</f>
        <v/>
      </c>
      <c r="C256" s="18" t="str">
        <f>IF($A256="","",(LOOKUP($A256,'STEP 2-WQv Calculation'!$A$8:$A$37,'STEP 2-WQv Calculation'!$C$8:$C$37)))</f>
        <v/>
      </c>
      <c r="D256" s="53" t="str">
        <f>IF($A256="","",(LOOKUP($A256,'STEP 2-WQv Calculation'!$A$8:$A$37,'STEP 2-WQv Calculation'!$D$8:$D$37)))</f>
        <v/>
      </c>
      <c r="E256" s="18" t="str">
        <f>IF($A256="","",(LOOKUP($A256,'STEP 2-WQv Calculation'!$A$8:$A$37,'STEP 2-WQv Calculation'!$E$8:$E$37)))</f>
        <v/>
      </c>
      <c r="F256" s="42" t="str">
        <f>IF($A256="","",(LOOKUP($A256,'STEP 2-WQv Calculation'!$A$8:$A$37,'STEP 2-WQv Calculation'!$F$8:$F$37)))</f>
        <v/>
      </c>
      <c r="G256" s="18">
        <f>'STEP 2-WQv Calculation'!B145</f>
        <v>0</v>
      </c>
      <c r="H256" s="29" t="str">
        <f>IF($A256="","",(LOOKUP($A256,'STEP 2-WQv Calculation'!$A$8:$A$37,'STEP 2-WQv Calculation'!$G$8:$G$37)))</f>
        <v/>
      </c>
    </row>
    <row r="257" spans="1:8" x14ac:dyDescent="0.25">
      <c r="A257" s="242" t="s">
        <v>373</v>
      </c>
      <c r="B257" s="243"/>
      <c r="C257" s="244"/>
      <c r="D257" s="369" t="s">
        <v>385</v>
      </c>
      <c r="E257" s="370"/>
      <c r="F257" s="370"/>
      <c r="G257" s="370"/>
      <c r="H257" s="371"/>
    </row>
    <row r="258" spans="1:8" ht="13" x14ac:dyDescent="0.3">
      <c r="A258" s="273" t="s">
        <v>226</v>
      </c>
      <c r="B258" s="273"/>
      <c r="C258" s="273"/>
      <c r="D258" s="273"/>
      <c r="E258" s="273"/>
      <c r="F258" s="273"/>
      <c r="G258" s="273"/>
      <c r="H258" s="273"/>
    </row>
    <row r="259" spans="1:8" x14ac:dyDescent="0.25">
      <c r="A259" s="242" t="s">
        <v>295</v>
      </c>
      <c r="B259" s="243"/>
      <c r="C259" s="244"/>
      <c r="D259" s="44"/>
      <c r="E259" s="322" t="str">
        <f>IF(D259="","",IF(AND(D257="Filtration Rain Garden",D259&lt;0.5),"Underdrain required",IF(AND(D257="Infiltration Rain Garden",D259&lt;0.5),"Does not meet design criteria. Design as Filtration Rain Garden","")))</f>
        <v/>
      </c>
      <c r="F259" s="323"/>
      <c r="G259" s="323"/>
      <c r="H259" s="324"/>
    </row>
    <row r="260" spans="1:8" x14ac:dyDescent="0.25">
      <c r="A260" s="245" t="s">
        <v>247</v>
      </c>
      <c r="B260" s="245"/>
      <c r="C260" s="245"/>
      <c r="D260" s="211"/>
      <c r="E260" s="322" t="str">
        <f>IF(D260="","This practice cannot be used for hotspot treatment",IF(D260="Yes","Does not meet design criteria",""))</f>
        <v>This practice cannot be used for hotspot treatment</v>
      </c>
      <c r="F260" s="323"/>
      <c r="G260" s="323"/>
      <c r="H260" s="324"/>
    </row>
    <row r="261" spans="1:8" x14ac:dyDescent="0.25">
      <c r="A261" s="242" t="s">
        <v>374</v>
      </c>
      <c r="B261" s="243"/>
      <c r="C261" s="244"/>
      <c r="D261" s="43"/>
      <c r="E261" s="322" t="str">
        <f>IF(D261&gt;5,"Does not meet design criteria","")</f>
        <v/>
      </c>
      <c r="F261" s="323"/>
      <c r="G261" s="323"/>
      <c r="H261" s="324"/>
    </row>
    <row r="262" spans="1:8" x14ac:dyDescent="0.25">
      <c r="A262" s="242" t="s">
        <v>375</v>
      </c>
      <c r="B262" s="243"/>
      <c r="C262" s="244"/>
      <c r="D262" s="227" t="e">
        <f>IF((B256*43560)&gt;1000,"Yes","No")</f>
        <v>#VALUE!</v>
      </c>
      <c r="E262" s="322" t="str">
        <f>IF(F256="","",IF(D262="","",IF(D262="Yes","Does not meet design criteria","")))</f>
        <v/>
      </c>
      <c r="F262" s="323"/>
      <c r="G262" s="323"/>
      <c r="H262" s="324"/>
    </row>
    <row r="263" spans="1:8" x14ac:dyDescent="0.25">
      <c r="A263" s="242" t="s">
        <v>376</v>
      </c>
      <c r="B263" s="243"/>
      <c r="C263" s="244"/>
      <c r="D263" s="43"/>
      <c r="E263" s="322" t="str">
        <f>IF(D263&gt;30,"Does not meet design criteria","")</f>
        <v/>
      </c>
      <c r="F263" s="323"/>
      <c r="G263" s="323"/>
      <c r="H263" s="324"/>
    </row>
    <row r="264" spans="1:8" x14ac:dyDescent="0.25">
      <c r="A264" s="245" t="s">
        <v>377</v>
      </c>
      <c r="B264" s="245"/>
      <c r="C264" s="245"/>
      <c r="D264" s="211"/>
      <c r="E264" s="322" t="str">
        <f>IF(D264="Yes","Does not meet design criteria","")</f>
        <v/>
      </c>
      <c r="F264" s="323"/>
      <c r="G264" s="323"/>
      <c r="H264" s="324"/>
    </row>
    <row r="265" spans="1:8" x14ac:dyDescent="0.25">
      <c r="A265" s="242" t="s">
        <v>713</v>
      </c>
      <c r="B265" s="243"/>
      <c r="C265" s="244"/>
      <c r="D265" s="43"/>
      <c r="E265" s="322" t="str">
        <f>IF(D265="","",IF(AND(D257="Infiltration Rain Garden",D265&lt;2),"Does not meet design criteria. Design as Filtration Rain Garden",IF(AND(D257="Filtration Rain Garden",D265&lt;2),"Impermeable liner required","")))</f>
        <v/>
      </c>
      <c r="F265" s="323"/>
      <c r="G265" s="323"/>
      <c r="H265" s="324"/>
    </row>
    <row r="266" spans="1:8" x14ac:dyDescent="0.25">
      <c r="A266" s="242" t="s">
        <v>297</v>
      </c>
      <c r="B266" s="243"/>
      <c r="C266" s="244"/>
      <c r="D266" s="43"/>
      <c r="E266" s="322" t="str">
        <f>IF(D266="","",IF(AND(D257="Infiltration Rain Garden",D266&lt;2),"Does not meet design criteria. Design as Filtration Rain Garden",IF(AND(D257="Filtration Rain Garden",D266&lt;2),"Impermeable liner required","")))</f>
        <v/>
      </c>
      <c r="F266" s="323"/>
      <c r="G266" s="323"/>
      <c r="H266" s="324"/>
    </row>
    <row r="267" spans="1:8" x14ac:dyDescent="0.25">
      <c r="A267" s="242" t="s">
        <v>378</v>
      </c>
      <c r="B267" s="243"/>
      <c r="C267" s="244"/>
      <c r="D267" s="43"/>
      <c r="E267" s="322" t="str">
        <f>IF(D267="","",IF(D267&lt;3,"Does not meet design criteria",""))</f>
        <v/>
      </c>
      <c r="F267" s="323"/>
      <c r="G267" s="323"/>
      <c r="H267" s="324"/>
    </row>
    <row r="268" spans="1:8" x14ac:dyDescent="0.25">
      <c r="A268" s="242" t="s">
        <v>300</v>
      </c>
      <c r="B268" s="243"/>
      <c r="C268" s="244"/>
      <c r="D268" s="43"/>
      <c r="E268" s="322" t="str">
        <f>IF(D268="","",IF(AND(D257="Filtration Rain Garden",D268&lt;10),"Does not meet design criteria",IF(AND(D257="Infiltration Rain Garden",D268&lt;6),"Does not meet design criteria","")))</f>
        <v/>
      </c>
      <c r="F268" s="323"/>
      <c r="G268" s="323"/>
      <c r="H268" s="324"/>
    </row>
    <row r="269" spans="1:8" ht="13" x14ac:dyDescent="0.25">
      <c r="A269" s="236" t="s">
        <v>232</v>
      </c>
      <c r="B269" s="237"/>
      <c r="C269" s="237"/>
      <c r="D269" s="237"/>
      <c r="E269" s="237"/>
      <c r="F269" s="237"/>
      <c r="G269" s="237"/>
      <c r="H269" s="238"/>
    </row>
    <row r="270" spans="1:8" ht="13" x14ac:dyDescent="0.25">
      <c r="A270" s="35"/>
      <c r="B270" s="36"/>
      <c r="C270" s="36"/>
      <c r="D270" s="37"/>
      <c r="E270" s="302" t="s">
        <v>256</v>
      </c>
      <c r="F270" s="302"/>
      <c r="G270" s="38" t="s">
        <v>257</v>
      </c>
      <c r="H270" s="38" t="s">
        <v>258</v>
      </c>
    </row>
    <row r="271" spans="1:8" x14ac:dyDescent="0.25">
      <c r="A271" s="289" t="s">
        <v>302</v>
      </c>
      <c r="B271" s="289"/>
      <c r="C271" s="289"/>
      <c r="D271" s="198" t="s">
        <v>303</v>
      </c>
      <c r="E271" s="334" t="str">
        <f>F256</f>
        <v/>
      </c>
      <c r="F271" s="334"/>
      <c r="G271" s="193" t="s">
        <v>2</v>
      </c>
      <c r="H271" s="219"/>
    </row>
    <row r="272" spans="1:8" x14ac:dyDescent="0.25">
      <c r="A272" s="289" t="s">
        <v>379</v>
      </c>
      <c r="B272" s="289"/>
      <c r="C272" s="289"/>
      <c r="D272" s="198" t="s">
        <v>305</v>
      </c>
      <c r="E272" s="336"/>
      <c r="F272" s="336"/>
      <c r="G272" s="193" t="s">
        <v>271</v>
      </c>
      <c r="H272" s="219" t="str">
        <f>IF(E272="","",IF(AND(D257="Filtration Rain Garden",E272&lt;1.5),"Does not meet design criteria",IF(AND(D257="Filtration Rain Garden",E272&gt;2),"Does not meet design criteria",IF(AND(D257="Infiltration Rain Garden",E272&lt;1),"Does not meet design criteria",IF(AND(D257="Infiltration Rain Garden",E272&gt;1.5),"Does not meet design criteria","")))))</f>
        <v/>
      </c>
    </row>
    <row r="273" spans="1:8" x14ac:dyDescent="0.25">
      <c r="A273" s="266" t="s">
        <v>380</v>
      </c>
      <c r="B273" s="267"/>
      <c r="C273" s="268"/>
      <c r="D273" s="198" t="s">
        <v>307</v>
      </c>
      <c r="E273" s="289">
        <v>1</v>
      </c>
      <c r="F273" s="289"/>
      <c r="G273" s="193" t="s">
        <v>308</v>
      </c>
      <c r="H273" s="219"/>
    </row>
    <row r="274" spans="1:8" x14ac:dyDescent="0.25">
      <c r="A274" s="289" t="s">
        <v>309</v>
      </c>
      <c r="B274" s="289"/>
      <c r="C274" s="289"/>
      <c r="D274" s="198" t="s">
        <v>310</v>
      </c>
      <c r="E274" s="336"/>
      <c r="F274" s="336"/>
      <c r="G274" s="193" t="s">
        <v>271</v>
      </c>
      <c r="H274" s="219" t="str">
        <f>IF(E274&gt;0.5,"Does not meet design criteia","")</f>
        <v/>
      </c>
    </row>
    <row r="275" spans="1:8" x14ac:dyDescent="0.25">
      <c r="A275" s="289" t="s">
        <v>311</v>
      </c>
      <c r="B275" s="289"/>
      <c r="C275" s="289"/>
      <c r="D275" s="198" t="s">
        <v>312</v>
      </c>
      <c r="E275" s="289">
        <v>2</v>
      </c>
      <c r="F275" s="289"/>
      <c r="G275" s="193" t="s">
        <v>313</v>
      </c>
      <c r="H275" s="219"/>
    </row>
    <row r="276" spans="1:8" x14ac:dyDescent="0.25">
      <c r="A276" s="266" t="s">
        <v>381</v>
      </c>
      <c r="B276" s="267"/>
      <c r="C276" s="268"/>
      <c r="D276" s="198" t="s">
        <v>315</v>
      </c>
      <c r="E276" s="308" t="e">
        <f>(E271*E272)/(E273*(E274+E272)*E275)</f>
        <v>#VALUE!</v>
      </c>
      <c r="F276" s="308"/>
      <c r="G276" s="193" t="s">
        <v>316</v>
      </c>
      <c r="H276" s="219"/>
    </row>
    <row r="277" spans="1:8" x14ac:dyDescent="0.25">
      <c r="A277" s="266" t="s">
        <v>382</v>
      </c>
      <c r="B277" s="267"/>
      <c r="C277" s="268"/>
      <c r="D277" s="198" t="s">
        <v>315</v>
      </c>
      <c r="E277" s="336"/>
      <c r="F277" s="336"/>
      <c r="G277" s="193" t="s">
        <v>316</v>
      </c>
      <c r="H277" s="219" t="str">
        <f>IF(E277="","",IF(E276&gt;E277,"Does not meet sizing criteria",""))</f>
        <v/>
      </c>
    </row>
    <row r="278" spans="1:8" x14ac:dyDescent="0.25">
      <c r="A278" s="266" t="s">
        <v>383</v>
      </c>
      <c r="B278" s="267"/>
      <c r="C278" s="268"/>
      <c r="D278" s="198" t="s">
        <v>384</v>
      </c>
      <c r="E278" s="367" t="str">
        <f>IF(E277="","",(E277*(E273*(E274+E272)*E275))/E272)</f>
        <v/>
      </c>
      <c r="F278" s="368"/>
      <c r="G278" s="193" t="s">
        <v>2</v>
      </c>
      <c r="H278" s="219"/>
    </row>
    <row r="279" spans="1:8" ht="13" x14ac:dyDescent="0.25">
      <c r="A279" s="236" t="s">
        <v>276</v>
      </c>
      <c r="B279" s="237"/>
      <c r="C279" s="237"/>
      <c r="D279" s="237"/>
      <c r="E279" s="237"/>
      <c r="F279" s="237"/>
      <c r="G279" s="237"/>
      <c r="H279" s="238"/>
    </row>
    <row r="280" spans="1:8" ht="13" x14ac:dyDescent="0.25">
      <c r="A280" s="335" t="s">
        <v>241</v>
      </c>
      <c r="B280" s="335"/>
      <c r="C280" s="9" t="str">
        <f>IF(A256="","",IF(D260="Yes",0,IF(B256="",0,IF(AND(D257="Infiltration Rain Garden",D259&lt;0.5),0,IF(D261&gt;5,0,IF(D262="Yes",0,IF(D263&gt;30,0,IF(D264="Yes",0,IF(AND(D257="Infiltration Rain Garden",D265&lt;2),0,IF(AND(D257="Infiltration Rain Garden",D266&lt;2),0,IF(D267&lt;3,0,IF(AND(D257="Filtration Rain Garden",D268&lt;10),0,IF(AND(D257="Infiltration Rain Garden",D268&lt;6),0,IF(AND(D257="Filtration Rain Garden",E272&lt;1.5),0,IF(AND(D257="Filtration Rain Garden",E272&gt;2),0,IF(AND(D257="Infiltration Rain Garden",E272&lt;1),0,IF(AND(D257="Infiltration Rain Garden",E272&gt;1.5),0,IF(E274&gt;0.5,0,IF(E277&lt;E276,0,IF(AND(D257="Filtration Rain Garden",(E278*0.4)&lt;=F256),(E278*0.4),IF(AND(D257="Filtration Rain Garden",(E278*0.4)&gt;F256),F256,IF(D257="Infiltration Rain Garden",F256*1))))))))))))))))))))))</f>
        <v/>
      </c>
      <c r="D280" s="310" t="s">
        <v>2</v>
      </c>
      <c r="E280" s="311"/>
      <c r="F280" s="311"/>
      <c r="G280" s="311"/>
      <c r="H280" s="312"/>
    </row>
  </sheetData>
  <sheetProtection algorithmName="SHA-512" hashValue="uWkbhkZlijr1JUzvuavY9e8iL+Blkh45if4RHo4aSGBb4iQ+oodNb+Fg2tzp9Ase9e/pt+jqYIbZVVPwQXlyxA==" saltValue="qjDVQlAfUK5FZx2WJLkadw==" spinCount="100000" sheet="1" formatColumns="0" formatRows="0"/>
  <mergeCells count="456">
    <mergeCell ref="A280:B280"/>
    <mergeCell ref="D280:H280"/>
    <mergeCell ref="A275:C275"/>
    <mergeCell ref="E275:F275"/>
    <mergeCell ref="A276:C276"/>
    <mergeCell ref="E276:F276"/>
    <mergeCell ref="A277:C277"/>
    <mergeCell ref="E277:F277"/>
    <mergeCell ref="A278:C278"/>
    <mergeCell ref="E278:F278"/>
    <mergeCell ref="A279:H279"/>
    <mergeCell ref="E270:F270"/>
    <mergeCell ref="A271:C271"/>
    <mergeCell ref="E271:F271"/>
    <mergeCell ref="A272:C272"/>
    <mergeCell ref="E272:F272"/>
    <mergeCell ref="A273:C273"/>
    <mergeCell ref="E273:F273"/>
    <mergeCell ref="A274:C274"/>
    <mergeCell ref="E274:F274"/>
    <mergeCell ref="A265:C265"/>
    <mergeCell ref="E265:H265"/>
    <mergeCell ref="A266:C266"/>
    <mergeCell ref="E266:H266"/>
    <mergeCell ref="A267:C267"/>
    <mergeCell ref="E267:H267"/>
    <mergeCell ref="A268:C268"/>
    <mergeCell ref="E268:H268"/>
    <mergeCell ref="A269:H269"/>
    <mergeCell ref="A260:C260"/>
    <mergeCell ref="E260:H260"/>
    <mergeCell ref="A261:C261"/>
    <mergeCell ref="E261:H261"/>
    <mergeCell ref="A262:C262"/>
    <mergeCell ref="E262:H262"/>
    <mergeCell ref="A263:C263"/>
    <mergeCell ref="E263:H263"/>
    <mergeCell ref="A264:C264"/>
    <mergeCell ref="E264:H264"/>
    <mergeCell ref="A251:H251"/>
    <mergeCell ref="A252:B252"/>
    <mergeCell ref="D252:H252"/>
    <mergeCell ref="A254:H254"/>
    <mergeCell ref="A257:C257"/>
    <mergeCell ref="D257:H257"/>
    <mergeCell ref="A258:H258"/>
    <mergeCell ref="A259:C259"/>
    <mergeCell ref="E259:H259"/>
    <mergeCell ref="A246:C246"/>
    <mergeCell ref="E246:F246"/>
    <mergeCell ref="A247:C247"/>
    <mergeCell ref="E247:F247"/>
    <mergeCell ref="A248:C248"/>
    <mergeCell ref="E248:F248"/>
    <mergeCell ref="A249:C249"/>
    <mergeCell ref="E249:F249"/>
    <mergeCell ref="A250:C250"/>
    <mergeCell ref="E250:F250"/>
    <mergeCell ref="A240:C240"/>
    <mergeCell ref="E240:H240"/>
    <mergeCell ref="A241:H241"/>
    <mergeCell ref="E242:F242"/>
    <mergeCell ref="A243:C243"/>
    <mergeCell ref="E243:F243"/>
    <mergeCell ref="A244:C244"/>
    <mergeCell ref="E244:F244"/>
    <mergeCell ref="A245:C245"/>
    <mergeCell ref="E245:F245"/>
    <mergeCell ref="A235:C235"/>
    <mergeCell ref="E235:H235"/>
    <mergeCell ref="A236:C236"/>
    <mergeCell ref="E236:H236"/>
    <mergeCell ref="A237:C237"/>
    <mergeCell ref="E237:H237"/>
    <mergeCell ref="A238:C238"/>
    <mergeCell ref="E238:H238"/>
    <mergeCell ref="A239:C239"/>
    <mergeCell ref="E239:H239"/>
    <mergeCell ref="A230:H230"/>
    <mergeCell ref="A231:C231"/>
    <mergeCell ref="E231:H231"/>
    <mergeCell ref="A232:C232"/>
    <mergeCell ref="E232:H232"/>
    <mergeCell ref="A233:C233"/>
    <mergeCell ref="E233:H233"/>
    <mergeCell ref="A234:C234"/>
    <mergeCell ref="E234:H234"/>
    <mergeCell ref="A221:C221"/>
    <mergeCell ref="E221:F221"/>
    <mergeCell ref="A222:C222"/>
    <mergeCell ref="E222:F222"/>
    <mergeCell ref="A223:H223"/>
    <mergeCell ref="A224:B224"/>
    <mergeCell ref="D224:H224"/>
    <mergeCell ref="A226:H226"/>
    <mergeCell ref="A229:C229"/>
    <mergeCell ref="D229:H229"/>
    <mergeCell ref="A216:C216"/>
    <mergeCell ref="E216:F216"/>
    <mergeCell ref="A217:C217"/>
    <mergeCell ref="E217:F217"/>
    <mergeCell ref="A218:C218"/>
    <mergeCell ref="E218:F218"/>
    <mergeCell ref="A219:C219"/>
    <mergeCell ref="E219:F219"/>
    <mergeCell ref="A220:C220"/>
    <mergeCell ref="E220:F220"/>
    <mergeCell ref="A210:C210"/>
    <mergeCell ref="E210:H210"/>
    <mergeCell ref="A211:C211"/>
    <mergeCell ref="E211:H211"/>
    <mergeCell ref="A212:C212"/>
    <mergeCell ref="E212:H212"/>
    <mergeCell ref="A213:H213"/>
    <mergeCell ref="E214:F214"/>
    <mergeCell ref="A215:C215"/>
    <mergeCell ref="E215:F215"/>
    <mergeCell ref="A205:C205"/>
    <mergeCell ref="E205:H205"/>
    <mergeCell ref="A206:C206"/>
    <mergeCell ref="E206:H206"/>
    <mergeCell ref="A207:C207"/>
    <mergeCell ref="E207:H207"/>
    <mergeCell ref="A208:C208"/>
    <mergeCell ref="E208:H208"/>
    <mergeCell ref="A209:C209"/>
    <mergeCell ref="E209:H209"/>
    <mergeCell ref="A196:B196"/>
    <mergeCell ref="D196:H196"/>
    <mergeCell ref="A198:H198"/>
    <mergeCell ref="A201:C201"/>
    <mergeCell ref="D201:H201"/>
    <mergeCell ref="A202:H202"/>
    <mergeCell ref="A203:C203"/>
    <mergeCell ref="E203:H203"/>
    <mergeCell ref="A204:C204"/>
    <mergeCell ref="E204:H204"/>
    <mergeCell ref="A191:C191"/>
    <mergeCell ref="E191:F191"/>
    <mergeCell ref="A192:C192"/>
    <mergeCell ref="E192:F192"/>
    <mergeCell ref="A193:C193"/>
    <mergeCell ref="E193:F193"/>
    <mergeCell ref="A194:C194"/>
    <mergeCell ref="E194:F194"/>
    <mergeCell ref="A195:H195"/>
    <mergeCell ref="A185:H185"/>
    <mergeCell ref="E186:F186"/>
    <mergeCell ref="A187:C187"/>
    <mergeCell ref="E187:F187"/>
    <mergeCell ref="A188:C188"/>
    <mergeCell ref="E188:F188"/>
    <mergeCell ref="A189:C189"/>
    <mergeCell ref="E189:F189"/>
    <mergeCell ref="A190:C190"/>
    <mergeCell ref="E190:F190"/>
    <mergeCell ref="A180:C180"/>
    <mergeCell ref="E180:H180"/>
    <mergeCell ref="A181:C181"/>
    <mergeCell ref="E181:H181"/>
    <mergeCell ref="A182:C182"/>
    <mergeCell ref="E182:H182"/>
    <mergeCell ref="A183:C183"/>
    <mergeCell ref="E183:H183"/>
    <mergeCell ref="A184:C184"/>
    <mergeCell ref="E184:H184"/>
    <mergeCell ref="A175:C175"/>
    <mergeCell ref="E175:H175"/>
    <mergeCell ref="A176:C176"/>
    <mergeCell ref="E176:H176"/>
    <mergeCell ref="A177:C177"/>
    <mergeCell ref="E177:H177"/>
    <mergeCell ref="A178:C178"/>
    <mergeCell ref="E178:H178"/>
    <mergeCell ref="A179:C179"/>
    <mergeCell ref="E179:H179"/>
    <mergeCell ref="A166:C166"/>
    <mergeCell ref="E166:F166"/>
    <mergeCell ref="A167:H167"/>
    <mergeCell ref="A168:B168"/>
    <mergeCell ref="D168:H168"/>
    <mergeCell ref="A170:H170"/>
    <mergeCell ref="A173:C173"/>
    <mergeCell ref="D173:H173"/>
    <mergeCell ref="A174:H174"/>
    <mergeCell ref="A161:C161"/>
    <mergeCell ref="E161:F161"/>
    <mergeCell ref="A162:C162"/>
    <mergeCell ref="E162:F162"/>
    <mergeCell ref="A163:C163"/>
    <mergeCell ref="E163:F163"/>
    <mergeCell ref="A164:C164"/>
    <mergeCell ref="E164:F164"/>
    <mergeCell ref="A165:C165"/>
    <mergeCell ref="E165:F165"/>
    <mergeCell ref="A155:C155"/>
    <mergeCell ref="E155:H155"/>
    <mergeCell ref="A156:C156"/>
    <mergeCell ref="E156:H156"/>
    <mergeCell ref="A157:H157"/>
    <mergeCell ref="E158:F158"/>
    <mergeCell ref="A159:C159"/>
    <mergeCell ref="E159:F159"/>
    <mergeCell ref="A160:C160"/>
    <mergeCell ref="E160:F160"/>
    <mergeCell ref="A150:C150"/>
    <mergeCell ref="E150:H150"/>
    <mergeCell ref="A151:C151"/>
    <mergeCell ref="E151:H151"/>
    <mergeCell ref="A152:C152"/>
    <mergeCell ref="E152:H152"/>
    <mergeCell ref="A153:C153"/>
    <mergeCell ref="E153:H153"/>
    <mergeCell ref="A154:C154"/>
    <mergeCell ref="E154:H154"/>
    <mergeCell ref="A142:H142"/>
    <mergeCell ref="A145:C145"/>
    <mergeCell ref="D145:H145"/>
    <mergeCell ref="A146:H146"/>
    <mergeCell ref="A147:C147"/>
    <mergeCell ref="E147:H147"/>
    <mergeCell ref="A148:C148"/>
    <mergeCell ref="E148:H148"/>
    <mergeCell ref="A149:C149"/>
    <mergeCell ref="E149:H149"/>
    <mergeCell ref="A82:C82"/>
    <mergeCell ref="E82:F82"/>
    <mergeCell ref="A110:C110"/>
    <mergeCell ref="E110:F110"/>
    <mergeCell ref="A138:C138"/>
    <mergeCell ref="E138:F138"/>
    <mergeCell ref="A92:C92"/>
    <mergeCell ref="E92:H92"/>
    <mergeCell ref="A120:C120"/>
    <mergeCell ref="E120:H120"/>
    <mergeCell ref="A132:C132"/>
    <mergeCell ref="E132:F132"/>
    <mergeCell ref="A133:C133"/>
    <mergeCell ref="E133:F133"/>
    <mergeCell ref="A134:C134"/>
    <mergeCell ref="E134:F134"/>
    <mergeCell ref="A128:C128"/>
    <mergeCell ref="E128:H128"/>
    <mergeCell ref="A129:H129"/>
    <mergeCell ref="E130:F130"/>
    <mergeCell ref="A131:C131"/>
    <mergeCell ref="E131:F131"/>
    <mergeCell ref="A125:C125"/>
    <mergeCell ref="E125:H125"/>
    <mergeCell ref="A139:H139"/>
    <mergeCell ref="A140:B140"/>
    <mergeCell ref="D140:H140"/>
    <mergeCell ref="A135:C135"/>
    <mergeCell ref="E135:F135"/>
    <mergeCell ref="A136:C136"/>
    <mergeCell ref="E136:F136"/>
    <mergeCell ref="A137:C137"/>
    <mergeCell ref="E137:F137"/>
    <mergeCell ref="A126:C126"/>
    <mergeCell ref="E126:H126"/>
    <mergeCell ref="A127:C127"/>
    <mergeCell ref="E127:H127"/>
    <mergeCell ref="A122:C122"/>
    <mergeCell ref="E122:H122"/>
    <mergeCell ref="A123:C123"/>
    <mergeCell ref="E123:H123"/>
    <mergeCell ref="A124:C124"/>
    <mergeCell ref="E124:H124"/>
    <mergeCell ref="A118:H118"/>
    <mergeCell ref="A119:C119"/>
    <mergeCell ref="E119:H119"/>
    <mergeCell ref="A121:C121"/>
    <mergeCell ref="E121:H121"/>
    <mergeCell ref="A112:B112"/>
    <mergeCell ref="D112:H112"/>
    <mergeCell ref="A114:H114"/>
    <mergeCell ref="A117:C117"/>
    <mergeCell ref="D117:H117"/>
    <mergeCell ref="A108:C108"/>
    <mergeCell ref="E108:F108"/>
    <mergeCell ref="A109:C109"/>
    <mergeCell ref="E109:F109"/>
    <mergeCell ref="A111:H111"/>
    <mergeCell ref="A105:C105"/>
    <mergeCell ref="E105:F105"/>
    <mergeCell ref="A106:C106"/>
    <mergeCell ref="E106:F106"/>
    <mergeCell ref="A107:C107"/>
    <mergeCell ref="E107:F107"/>
    <mergeCell ref="E102:F102"/>
    <mergeCell ref="A103:C103"/>
    <mergeCell ref="E103:F103"/>
    <mergeCell ref="A104:C104"/>
    <mergeCell ref="E104:F104"/>
    <mergeCell ref="A99:C99"/>
    <mergeCell ref="E99:H99"/>
    <mergeCell ref="A100:C100"/>
    <mergeCell ref="E100:H100"/>
    <mergeCell ref="A101:H101"/>
    <mergeCell ref="A96:C96"/>
    <mergeCell ref="E96:H96"/>
    <mergeCell ref="A97:C97"/>
    <mergeCell ref="E97:H97"/>
    <mergeCell ref="A98:C98"/>
    <mergeCell ref="E98:H98"/>
    <mergeCell ref="A93:C93"/>
    <mergeCell ref="E93:H93"/>
    <mergeCell ref="A94:C94"/>
    <mergeCell ref="E94:H94"/>
    <mergeCell ref="A95:C95"/>
    <mergeCell ref="E95:H95"/>
    <mergeCell ref="A86:H86"/>
    <mergeCell ref="A89:C89"/>
    <mergeCell ref="D89:H89"/>
    <mergeCell ref="A90:H90"/>
    <mergeCell ref="A91:C91"/>
    <mergeCell ref="E91:H91"/>
    <mergeCell ref="A83:H83"/>
    <mergeCell ref="A84:B84"/>
    <mergeCell ref="D84:H84"/>
    <mergeCell ref="A72:C72"/>
    <mergeCell ref="E72:H72"/>
    <mergeCell ref="A73:H73"/>
    <mergeCell ref="E74:F74"/>
    <mergeCell ref="A75:C75"/>
    <mergeCell ref="E75:F75"/>
    <mergeCell ref="A69:C69"/>
    <mergeCell ref="E69:H69"/>
    <mergeCell ref="A70:C70"/>
    <mergeCell ref="E70:H70"/>
    <mergeCell ref="A71:C71"/>
    <mergeCell ref="E71:H71"/>
    <mergeCell ref="A79:C79"/>
    <mergeCell ref="E79:F79"/>
    <mergeCell ref="A80:C80"/>
    <mergeCell ref="E80:F80"/>
    <mergeCell ref="A81:C81"/>
    <mergeCell ref="E81:F81"/>
    <mergeCell ref="A76:C76"/>
    <mergeCell ref="E76:F76"/>
    <mergeCell ref="A77:C77"/>
    <mergeCell ref="E77:F77"/>
    <mergeCell ref="A78:C78"/>
    <mergeCell ref="E78:F78"/>
    <mergeCell ref="A66:C66"/>
    <mergeCell ref="E66:H66"/>
    <mergeCell ref="A67:C67"/>
    <mergeCell ref="E67:H67"/>
    <mergeCell ref="A68:C68"/>
    <mergeCell ref="E68:H68"/>
    <mergeCell ref="A62:H62"/>
    <mergeCell ref="A63:C63"/>
    <mergeCell ref="E63:H63"/>
    <mergeCell ref="A65:C65"/>
    <mergeCell ref="E65:H65"/>
    <mergeCell ref="A64:C64"/>
    <mergeCell ref="E64:H64"/>
    <mergeCell ref="A56:B56"/>
    <mergeCell ref="D56:H56"/>
    <mergeCell ref="A52:C52"/>
    <mergeCell ref="E52:F52"/>
    <mergeCell ref="A53:C53"/>
    <mergeCell ref="E53:F53"/>
    <mergeCell ref="A55:H55"/>
    <mergeCell ref="A58:H58"/>
    <mergeCell ref="A61:C61"/>
    <mergeCell ref="D61:H61"/>
    <mergeCell ref="A54:C54"/>
    <mergeCell ref="E54:F54"/>
    <mergeCell ref="A49:C49"/>
    <mergeCell ref="E49:F49"/>
    <mergeCell ref="A50:C50"/>
    <mergeCell ref="E50:F50"/>
    <mergeCell ref="A51:C51"/>
    <mergeCell ref="E51:F51"/>
    <mergeCell ref="E46:F46"/>
    <mergeCell ref="A47:C47"/>
    <mergeCell ref="E47:F47"/>
    <mergeCell ref="A48:C48"/>
    <mergeCell ref="E48:F48"/>
    <mergeCell ref="A43:C43"/>
    <mergeCell ref="E43:H43"/>
    <mergeCell ref="A44:C44"/>
    <mergeCell ref="E44:H44"/>
    <mergeCell ref="A45:H45"/>
    <mergeCell ref="A40:C40"/>
    <mergeCell ref="E40:H40"/>
    <mergeCell ref="A41:C41"/>
    <mergeCell ref="E41:H41"/>
    <mergeCell ref="A42:C42"/>
    <mergeCell ref="E42:H42"/>
    <mergeCell ref="A37:C37"/>
    <mergeCell ref="E37:H37"/>
    <mergeCell ref="A38:C38"/>
    <mergeCell ref="E38:H38"/>
    <mergeCell ref="A39:C39"/>
    <mergeCell ref="E39:H39"/>
    <mergeCell ref="A30:H30"/>
    <mergeCell ref="A33:C33"/>
    <mergeCell ref="D33:H33"/>
    <mergeCell ref="A34:H34"/>
    <mergeCell ref="A35:C35"/>
    <mergeCell ref="E35:H35"/>
    <mergeCell ref="A36:C36"/>
    <mergeCell ref="E36:H36"/>
    <mergeCell ref="I2:J2"/>
    <mergeCell ref="I3:J3"/>
    <mergeCell ref="I4:J4"/>
    <mergeCell ref="K2:L2"/>
    <mergeCell ref="K3:L3"/>
    <mergeCell ref="K4:L4"/>
    <mergeCell ref="A28:B28"/>
    <mergeCell ref="D28:H28"/>
    <mergeCell ref="A2:H2"/>
    <mergeCell ref="A21:C21"/>
    <mergeCell ref="E21:F21"/>
    <mergeCell ref="A22:C22"/>
    <mergeCell ref="E22:F22"/>
    <mergeCell ref="A23:C23"/>
    <mergeCell ref="E23:F23"/>
    <mergeCell ref="A17:H17"/>
    <mergeCell ref="E18:F18"/>
    <mergeCell ref="A19:C19"/>
    <mergeCell ref="E19:F19"/>
    <mergeCell ref="A20:C20"/>
    <mergeCell ref="E20:F20"/>
    <mergeCell ref="A6:H6"/>
    <mergeCell ref="A24:C24"/>
    <mergeCell ref="E24:F24"/>
    <mergeCell ref="A25:C25"/>
    <mergeCell ref="E25:F25"/>
    <mergeCell ref="A27:H27"/>
    <mergeCell ref="A14:C14"/>
    <mergeCell ref="E14:H14"/>
    <mergeCell ref="A15:C15"/>
    <mergeCell ref="E15:H15"/>
    <mergeCell ref="E16:H16"/>
    <mergeCell ref="A16:C16"/>
    <mergeCell ref="A26:C26"/>
    <mergeCell ref="E26:F26"/>
    <mergeCell ref="A5:C5"/>
    <mergeCell ref="D5:H5"/>
    <mergeCell ref="E12:H12"/>
    <mergeCell ref="A13:C13"/>
    <mergeCell ref="E13:H13"/>
    <mergeCell ref="A7:C7"/>
    <mergeCell ref="E7:H7"/>
    <mergeCell ref="A9:C9"/>
    <mergeCell ref="E9:H9"/>
    <mergeCell ref="A10:C10"/>
    <mergeCell ref="E10:H10"/>
    <mergeCell ref="A11:C11"/>
    <mergeCell ref="E11:H11"/>
    <mergeCell ref="A12:C12"/>
    <mergeCell ref="A8:C8"/>
    <mergeCell ref="E8:H8"/>
  </mergeCells>
  <dataValidations count="3">
    <dataValidation type="list" showInputMessage="1" showErrorMessage="1" promptTitle="Choose Area" sqref="A4 A88 A32 A60 A116 A144 A172 A200 A228 A256" xr:uid="{DB0243DB-667B-491E-9AF6-9708AB53345A}">
      <formula1>CatchNo</formula1>
    </dataValidation>
    <dataValidation type="list" showInputMessage="1" showErrorMessage="1" promptTitle="Yes or No?" sqref="D12 D96 D40 D68 D124 D8 D36 D64 D92 D120 D152 D148 D180 D176 D208 D204 D236 D232 D264 D260" xr:uid="{FBA1E87A-C45F-4B74-9138-685AB413293A}">
      <formula1>YesNo</formula1>
    </dataValidation>
    <dataValidation type="decimal" operator="greaterThan" allowBlank="1" showInputMessage="1" showErrorMessage="1" sqref="D13:D16 D11 D9 D7 E20:F20 E22:F22 E25:F25 D41:D44 D39 D37 D35 E48:F48 E50:F50 E53:F53 D63 E78:F78 E76:F76 D67 D65 D69:D72 E81:F81 E104:F104 E109:F109 E106:F106 D95 D91 D93 D97:D100 D125:D128 E137:F137 E134:F134 E132:F132 D123 D121 D119 D153:D156 E165:F165 E162:F162 E160:F160 D151 D149 D147 D181:D184 E193:F193 E190:F190 E188:F188 D179 D177 D175 D209:D212 E221:F221 E218:F218 E216:F216 D207 D205 D203 D237:D240 E249:F249 E246:F246 E244:F244 D235 D233 D231 D265:D268 E277:F277 E274:F274 E272:F272 D263 D261 D259" xr:uid="{CCD3A6D1-0BEB-4337-96F7-42F5DEBC5EA3}">
      <formula1>0</formula1>
    </dataValidation>
  </dataValidations>
  <pageMargins left="0.5" right="0.5" top="0.75" bottom="0.5" header="0.3" footer="0.3"/>
  <pageSetup paperSize="278" orientation="portrait" r:id="rId1"/>
  <headerFooter>
    <oddHeader>&amp;C&amp;"Arial,Regular"&amp;18Rain Garden (RR-6)</oddHeader>
  </headerFooter>
  <rowBreaks count="10" manualBreakCount="10">
    <brk id="28" max="16383" man="1"/>
    <brk id="56" max="16383" man="1"/>
    <brk id="84" max="16383" man="1"/>
    <brk id="112" max="16383" man="1"/>
    <brk id="140" max="16383" man="1"/>
    <brk id="168" max="16383" man="1"/>
    <brk id="196" max="16383" man="1"/>
    <brk id="224" max="16383" man="1"/>
    <brk id="252" max="16383" man="1"/>
    <brk id="280" max="16383" man="1"/>
  </rowBreaks>
  <extLst>
    <ext xmlns:x14="http://schemas.microsoft.com/office/spreadsheetml/2009/9/main" uri="{CCE6A557-97BC-4b89-ADB6-D9C93CAAB3DF}">
      <x14:dataValidations xmlns:xm="http://schemas.microsoft.com/office/excel/2006/main" count="1">
        <x14:dataValidation type="list" showInputMessage="1" showErrorMessage="1" promptTitle="Yes or No?" xr:uid="{231D7961-653B-4B13-9A9A-A614EF672699}">
          <x14:formula1>
            <xm:f>Reference!$A$6:$A$7</xm:f>
          </x14:formula1>
          <xm:sqref>D5:H5 D89:H89 D33:H33 D61:H61 D117:H117 D145:H145 D173:H173 D201:H201 D229:H229 D257:H257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38BEF-C103-4431-8807-89D918EF356D}">
  <dimension ref="A1:P260"/>
  <sheetViews>
    <sheetView view="pageLayout" topLeftCell="A5" zoomScaleNormal="100" workbookViewId="0">
      <selection activeCell="C26" sqref="C26"/>
    </sheetView>
  </sheetViews>
  <sheetFormatPr defaultColWidth="9.1796875" defaultRowHeight="12.5" x14ac:dyDescent="0.25"/>
  <cols>
    <col min="1" max="2" width="12.7265625" style="4" customWidth="1"/>
    <col min="3" max="3" width="11.453125" style="4" customWidth="1"/>
    <col min="4" max="4" width="10.81640625" style="4" customWidth="1"/>
    <col min="5" max="5" width="6.453125" style="4" customWidth="1"/>
    <col min="6" max="6" width="8.54296875" style="4" customWidth="1"/>
    <col min="7" max="7" width="12.81640625" style="4" customWidth="1"/>
    <col min="8" max="8" width="15.26953125" style="4" customWidth="1"/>
    <col min="9" max="9" width="14" style="4" customWidth="1"/>
    <col min="10" max="13" width="9.1796875" style="4" hidden="1" customWidth="1"/>
    <col min="14" max="14" width="12.1796875" style="4" bestFit="1" customWidth="1"/>
    <col min="15" max="16384" width="9.1796875" style="4"/>
  </cols>
  <sheetData>
    <row r="1" spans="1:16" s="34" customFormat="1" ht="15" customHeight="1" x14ac:dyDescent="0.3">
      <c r="A1" s="24" t="s">
        <v>56</v>
      </c>
      <c r="B1" s="23" t="str">
        <f>IF('STEP 2-WQv Calculation'!$B$4="","",'STEP 2-WQv Calculation'!$B$4)</f>
        <v/>
      </c>
      <c r="C1" s="31"/>
      <c r="D1" s="31"/>
      <c r="E1" s="32"/>
      <c r="F1" s="33"/>
      <c r="G1" s="33"/>
      <c r="H1" s="33"/>
    </row>
    <row r="2" spans="1:16" ht="15" customHeight="1" x14ac:dyDescent="0.25">
      <c r="A2" s="331" t="s">
        <v>293</v>
      </c>
      <c r="B2" s="332"/>
      <c r="C2" s="332"/>
      <c r="D2" s="332"/>
      <c r="E2" s="332"/>
      <c r="F2" s="332"/>
      <c r="G2" s="332"/>
      <c r="H2" s="333"/>
      <c r="I2" s="255" t="s">
        <v>219</v>
      </c>
      <c r="J2" s="256"/>
      <c r="K2" s="255" t="s">
        <v>219</v>
      </c>
      <c r="L2" s="256"/>
      <c r="N2" s="49">
        <f>SUM(B4,B30,B56,B82,B108,B134,B160,B186,B212,B238)</f>
        <v>0</v>
      </c>
      <c r="O2" s="12" t="s">
        <v>223</v>
      </c>
    </row>
    <row r="3" spans="1:16" s="34" customFormat="1" ht="46.75" customHeight="1" x14ac:dyDescent="0.3">
      <c r="A3" s="204" t="s">
        <v>60</v>
      </c>
      <c r="B3" s="205" t="s">
        <v>61</v>
      </c>
      <c r="C3" s="205" t="s">
        <v>62</v>
      </c>
      <c r="D3" s="205" t="s">
        <v>63</v>
      </c>
      <c r="E3" s="205" t="s">
        <v>64</v>
      </c>
      <c r="F3" s="205" t="s">
        <v>65</v>
      </c>
      <c r="G3" s="205" t="s">
        <v>244</v>
      </c>
      <c r="H3" s="206" t="s">
        <v>13</v>
      </c>
      <c r="I3" s="255" t="s">
        <v>245</v>
      </c>
      <c r="J3" s="256"/>
      <c r="K3" s="255" t="s">
        <v>245</v>
      </c>
      <c r="L3" s="256"/>
      <c r="M3" s="4"/>
      <c r="N3" s="21">
        <f>SUM(C4,C30,C56,C82,C108,C134,C160,C186,C212,C238)</f>
        <v>0</v>
      </c>
      <c r="O3" s="12" t="s">
        <v>223</v>
      </c>
      <c r="P3" s="4"/>
    </row>
    <row r="4" spans="1:16" ht="30.2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55" t="s">
        <v>227</v>
      </c>
      <c r="L4" s="256"/>
      <c r="N4" s="28">
        <f>SUM(C26,C52,C78,C104,C130,C156,C182,C208,C234,C260)</f>
        <v>0</v>
      </c>
      <c r="O4" s="12" t="s">
        <v>2</v>
      </c>
    </row>
    <row r="5" spans="1:16" s="1" customFormat="1" ht="28.15" customHeight="1" x14ac:dyDescent="0.35">
      <c r="A5" s="322" t="s">
        <v>386</v>
      </c>
      <c r="B5" s="323"/>
      <c r="C5" s="324"/>
      <c r="D5" s="364"/>
      <c r="E5" s="365"/>
      <c r="F5" s="365"/>
      <c r="G5" s="365"/>
      <c r="H5" s="366"/>
      <c r="I5" s="4"/>
    </row>
    <row r="6" spans="1:16" s="1" customFormat="1" ht="15" customHeight="1" x14ac:dyDescent="0.35">
      <c r="A6" s="273" t="s">
        <v>226</v>
      </c>
      <c r="B6" s="273"/>
      <c r="C6" s="273"/>
      <c r="D6" s="273"/>
      <c r="E6" s="273"/>
      <c r="F6" s="273"/>
      <c r="G6" s="273"/>
      <c r="H6" s="273"/>
      <c r="I6" s="4"/>
    </row>
    <row r="7" spans="1:16" s="1" customFormat="1" ht="30" customHeight="1" x14ac:dyDescent="0.35">
      <c r="A7" s="242" t="s">
        <v>295</v>
      </c>
      <c r="B7" s="243"/>
      <c r="C7" s="244"/>
      <c r="D7" s="44"/>
      <c r="E7" s="322" t="str">
        <f>IF(D7="","",IF(AND(D5="Filtration Stormwater Planter",D7&lt;0.5),"Underdrain required",IF(AND(D5="Infiltration Stormwater Planter",D7&lt;0.5),"Does not meet design criteria. Design as Filtration Stormwater Planter","")))</f>
        <v/>
      </c>
      <c r="F7" s="323"/>
      <c r="G7" s="323"/>
      <c r="H7" s="324"/>
      <c r="I7" s="4"/>
    </row>
    <row r="8" spans="1:16" s="1" customFormat="1" ht="14.5" x14ac:dyDescent="0.35">
      <c r="A8" s="245" t="s">
        <v>247</v>
      </c>
      <c r="B8" s="245"/>
      <c r="C8" s="245"/>
      <c r="D8" s="211"/>
      <c r="E8" s="322" t="str">
        <f>IF(D8="","This practice cannot be used for hotspot treatment",IF(D8="Yes","Does not meet design criteria",""))</f>
        <v>This practice cannot be used for hotspot treatment</v>
      </c>
      <c r="F8" s="323"/>
      <c r="G8" s="323"/>
      <c r="H8" s="324"/>
      <c r="I8" s="4"/>
    </row>
    <row r="9" spans="1:16" s="1" customFormat="1" ht="15" customHeight="1" x14ac:dyDescent="0.35">
      <c r="A9" s="242" t="s">
        <v>387</v>
      </c>
      <c r="B9" s="243"/>
      <c r="C9" s="244"/>
      <c r="D9" s="227" t="e">
        <f>IF((B4*43560)&gt;15000,"Yes","No")</f>
        <v>#VALUE!</v>
      </c>
      <c r="E9" s="322" t="str">
        <f>IF(F4="","",IF(D9="","",IF(D9="Yes","Does not meet design criteria","")))</f>
        <v/>
      </c>
      <c r="F9" s="323"/>
      <c r="G9" s="323"/>
      <c r="H9" s="324"/>
      <c r="I9" s="4"/>
    </row>
    <row r="10" spans="1:16" s="1" customFormat="1" ht="26.5" customHeight="1" x14ac:dyDescent="0.35">
      <c r="A10" s="245" t="s">
        <v>377</v>
      </c>
      <c r="B10" s="245"/>
      <c r="C10" s="245"/>
      <c r="D10" s="211"/>
      <c r="E10" s="322" t="str">
        <f>IF(D10="Yes","Does not meet design criteria","")</f>
        <v/>
      </c>
      <c r="F10" s="323"/>
      <c r="G10" s="323"/>
      <c r="H10" s="324"/>
      <c r="I10" s="4"/>
    </row>
    <row r="11" spans="1:16" s="1" customFormat="1" ht="27.75" customHeight="1" x14ac:dyDescent="0.35">
      <c r="A11" s="242" t="s">
        <v>713</v>
      </c>
      <c r="B11" s="243"/>
      <c r="C11" s="244"/>
      <c r="D11" s="43"/>
      <c r="E11" s="322" t="str">
        <f>IF(D11="","",IF(AND(D5="Infiltration Stormwater Planter",D11&lt;2),"Does not meet design criteria. Design as Filtration Rain Garden",IF(AND(D5="Filtration Stormwater Planter",D11&lt;2),"Impermeable liner required","")))</f>
        <v/>
      </c>
      <c r="F11" s="323"/>
      <c r="G11" s="323"/>
      <c r="H11" s="324"/>
      <c r="I11" s="4"/>
    </row>
    <row r="12" spans="1:16" s="1" customFormat="1" ht="14.5" x14ac:dyDescent="0.35">
      <c r="A12" s="242" t="s">
        <v>297</v>
      </c>
      <c r="B12" s="243"/>
      <c r="C12" s="244"/>
      <c r="D12" s="43"/>
      <c r="E12" s="322" t="str">
        <f>IF(D12="","",IF(AND(D5="Infiltration Stormwater Planter",D12&lt;2),"Does not meet design criteria. Design as Filtration Rain Garden",IF(AND(D5="Filtration Stormwater Planter",D12&lt;2),"Impermeable liner required","")))</f>
        <v/>
      </c>
      <c r="F12" s="323"/>
      <c r="G12" s="323"/>
      <c r="H12" s="324"/>
      <c r="I12" s="4"/>
    </row>
    <row r="13" spans="1:16" s="1" customFormat="1" ht="15" customHeight="1" x14ac:dyDescent="0.35">
      <c r="A13" s="242" t="s">
        <v>378</v>
      </c>
      <c r="B13" s="243"/>
      <c r="C13" s="244"/>
      <c r="D13" s="43"/>
      <c r="E13" s="322" t="str">
        <f>IF(D13="","",IF(D13&lt;3,"Does not meet design criteria",""))</f>
        <v/>
      </c>
      <c r="F13" s="323"/>
      <c r="G13" s="323"/>
      <c r="H13" s="324"/>
      <c r="I13" s="4"/>
    </row>
    <row r="14" spans="1:16" s="1" customFormat="1" ht="15.65" customHeight="1" x14ac:dyDescent="0.35">
      <c r="A14" s="242" t="s">
        <v>300</v>
      </c>
      <c r="B14" s="243"/>
      <c r="C14" s="244"/>
      <c r="D14" s="43"/>
      <c r="E14" s="322" t="str">
        <f>IF(D14="","",IF(AND(D5="Filtration Stormwater Planter",D14&lt;10),"Does not meet design criteria",IF(AND(D5="Infiltration Stormwater Planter",D14&lt;6),"Does not meet design criteria","")))</f>
        <v/>
      </c>
      <c r="F14" s="323"/>
      <c r="G14" s="323"/>
      <c r="H14" s="324"/>
      <c r="I14" s="4"/>
    </row>
    <row r="15" spans="1:16" ht="15" customHeight="1" x14ac:dyDescent="0.25">
      <c r="A15" s="236" t="s">
        <v>232</v>
      </c>
      <c r="B15" s="237"/>
      <c r="C15" s="237"/>
      <c r="D15" s="237"/>
      <c r="E15" s="237"/>
      <c r="F15" s="237"/>
      <c r="G15" s="237"/>
      <c r="H15" s="238"/>
    </row>
    <row r="16" spans="1:16" s="34" customFormat="1" ht="15" customHeight="1" x14ac:dyDescent="0.3">
      <c r="A16" s="35"/>
      <c r="B16" s="36"/>
      <c r="C16" s="36"/>
      <c r="D16" s="37"/>
      <c r="E16" s="302" t="s">
        <v>256</v>
      </c>
      <c r="F16" s="302"/>
      <c r="G16" s="38" t="s">
        <v>257</v>
      </c>
      <c r="H16" s="38" t="s">
        <v>258</v>
      </c>
      <c r="I16" s="4"/>
      <c r="J16" s="4"/>
      <c r="K16" s="4"/>
      <c r="L16" s="4"/>
      <c r="M16" s="4"/>
      <c r="N16" s="4"/>
      <c r="O16" s="4"/>
      <c r="P16" s="4"/>
    </row>
    <row r="17" spans="1:16" ht="15" customHeight="1" x14ac:dyDescent="0.25">
      <c r="A17" s="289" t="s">
        <v>302</v>
      </c>
      <c r="B17" s="289"/>
      <c r="C17" s="289"/>
      <c r="D17" s="198" t="s">
        <v>303</v>
      </c>
      <c r="E17" s="334" t="str">
        <f>F4</f>
        <v/>
      </c>
      <c r="F17" s="334"/>
      <c r="G17" s="193" t="s">
        <v>2</v>
      </c>
      <c r="H17" s="219"/>
    </row>
    <row r="18" spans="1:16" ht="29.5" customHeight="1" x14ac:dyDescent="0.25">
      <c r="A18" s="289" t="s">
        <v>379</v>
      </c>
      <c r="B18" s="289"/>
      <c r="C18" s="289"/>
      <c r="D18" s="198" t="s">
        <v>305</v>
      </c>
      <c r="E18" s="336"/>
      <c r="F18" s="336"/>
      <c r="G18" s="193" t="s">
        <v>271</v>
      </c>
      <c r="H18" s="219" t="str">
        <f>IF(E18="","",IF(AND(D5="Filtration Stormwater Planter",E18&lt;1.5),"Does not meet design criteria",IF(AND(D5="Filtration Stormwater Planter",E18&gt;2.5),"Does not meet design criteria",IF(AND(D5="Infiltration Stormwater Planter",E18&lt;1.5),"Does not meet design criteria",IF(AND(D5="Infiltration Stormwater Planter",E18&gt;2.5),"Does not meet design criteria","")))))</f>
        <v/>
      </c>
    </row>
    <row r="19" spans="1:16" ht="15" customHeight="1" x14ac:dyDescent="0.25">
      <c r="A19" s="266" t="s">
        <v>306</v>
      </c>
      <c r="B19" s="267"/>
      <c r="C19" s="268"/>
      <c r="D19" s="198" t="s">
        <v>307</v>
      </c>
      <c r="E19" s="289">
        <v>1</v>
      </c>
      <c r="F19" s="289"/>
      <c r="G19" s="193" t="s">
        <v>308</v>
      </c>
      <c r="H19" s="219"/>
    </row>
    <row r="20" spans="1:16" ht="30" customHeight="1" x14ac:dyDescent="0.25">
      <c r="A20" s="289" t="s">
        <v>309</v>
      </c>
      <c r="B20" s="289"/>
      <c r="C20" s="289"/>
      <c r="D20" s="198" t="s">
        <v>310</v>
      </c>
      <c r="E20" s="336"/>
      <c r="F20" s="336"/>
      <c r="G20" s="193" t="s">
        <v>271</v>
      </c>
      <c r="H20" s="219" t="str">
        <f>IF(E20&gt;0.5,"Does not meet design criteia","")</f>
        <v/>
      </c>
    </row>
    <row r="21" spans="1:16" ht="15" customHeight="1" x14ac:dyDescent="0.25">
      <c r="A21" s="289" t="s">
        <v>388</v>
      </c>
      <c r="B21" s="289"/>
      <c r="C21" s="289"/>
      <c r="D21" s="198" t="s">
        <v>312</v>
      </c>
      <c r="E21" s="289">
        <v>2</v>
      </c>
      <c r="F21" s="289"/>
      <c r="G21" s="193" t="s">
        <v>313</v>
      </c>
      <c r="H21" s="219"/>
    </row>
    <row r="22" spans="1:16" ht="15" customHeight="1" x14ac:dyDescent="0.25">
      <c r="A22" s="266" t="s">
        <v>381</v>
      </c>
      <c r="B22" s="267"/>
      <c r="C22" s="268"/>
      <c r="D22" s="198" t="s">
        <v>315</v>
      </c>
      <c r="E22" s="308" t="e">
        <f>(E17*E18)/(E19*(E20+E18)*E21)</f>
        <v>#VALUE!</v>
      </c>
      <c r="F22" s="308"/>
      <c r="G22" s="193" t="s">
        <v>316</v>
      </c>
      <c r="H22" s="219"/>
    </row>
    <row r="23" spans="1:16" ht="30" customHeight="1" x14ac:dyDescent="0.25">
      <c r="A23" s="266" t="s">
        <v>382</v>
      </c>
      <c r="B23" s="267"/>
      <c r="C23" s="268"/>
      <c r="D23" s="198" t="s">
        <v>315</v>
      </c>
      <c r="E23" s="336"/>
      <c r="F23" s="336"/>
      <c r="G23" s="193" t="s">
        <v>316</v>
      </c>
      <c r="H23" s="219" t="str">
        <f>IF(E23="","",IF(E22&gt;E23,"Does not meet sizing criteria",""))</f>
        <v/>
      </c>
    </row>
    <row r="24" spans="1:16" ht="30" customHeight="1" x14ac:dyDescent="0.25">
      <c r="A24" s="266" t="s">
        <v>383</v>
      </c>
      <c r="B24" s="267"/>
      <c r="C24" s="268"/>
      <c r="D24" s="198" t="s">
        <v>384</v>
      </c>
      <c r="E24" s="266" t="str">
        <f>IF(E23="","",(E23*(E19*(E20+E18)*E21))/E18)</f>
        <v/>
      </c>
      <c r="F24" s="268"/>
      <c r="G24" s="193" t="s">
        <v>2</v>
      </c>
      <c r="H24" s="219" t="str">
        <f>IF(E24="","",IF(E23&gt;E24,"Does not meet sizing criteria",""))</f>
        <v/>
      </c>
    </row>
    <row r="25" spans="1:16" ht="15" customHeight="1" x14ac:dyDescent="0.25">
      <c r="A25" s="236" t="s">
        <v>276</v>
      </c>
      <c r="B25" s="237"/>
      <c r="C25" s="237"/>
      <c r="D25" s="237"/>
      <c r="E25" s="237"/>
      <c r="F25" s="237"/>
      <c r="G25" s="237"/>
      <c r="H25" s="238"/>
    </row>
    <row r="26" spans="1:16" s="34" customFormat="1" ht="30.25" customHeight="1" x14ac:dyDescent="0.3">
      <c r="A26" s="335" t="s">
        <v>241</v>
      </c>
      <c r="B26" s="335"/>
      <c r="C26" s="9" t="str">
        <f>IF(A4="","",IF(D8="Yes",0,IF(B4="",0,IF(AND(D5="Infiltration Stormwater Planter",D7&lt;0.5),0,IF(D9="Yes",0,IF(D10="Yes",0,IF(AND(D5="Infiltration Stormwater Planter",D11&lt;2),0,IF(AND(D5="Infiltration Stormwater Planter",D12&lt;2),0,IF(D13&lt;3,0,IF(AND(D5="Filtration Stormwater Planter",D14&lt;10),0,IF(AND(D5="Infiltration Stormwater Planter",D14&lt;6),0,IF(E18&lt;1.5,0,IF(E18&gt;2.5,0,IF(E20&gt;0.5,0,IF(E23&lt;E22,0,IF(AND(D5="Filtration Stormwater Planter",E24*0.4&lt;=F4),E24*0.4,IF(AND(D5="Filtration Stormwater Planter",E24*0.4&gt;F4),F4,IF(D5="Infiltration Stormwater Planter",F4*1))))))))))))))))))</f>
        <v/>
      </c>
      <c r="D26" s="310" t="s">
        <v>2</v>
      </c>
      <c r="E26" s="311"/>
      <c r="F26" s="311"/>
      <c r="G26" s="311"/>
      <c r="H26" s="312"/>
      <c r="I26" s="4"/>
      <c r="J26" s="4"/>
      <c r="K26" s="4"/>
      <c r="L26" s="4"/>
      <c r="M26" s="4"/>
      <c r="N26" s="4"/>
      <c r="O26" s="4"/>
      <c r="P26" s="4"/>
    </row>
    <row r="27" spans="1:16" ht="13" x14ac:dyDescent="0.3">
      <c r="A27" s="24" t="s">
        <v>56</v>
      </c>
      <c r="B27" s="23" t="str">
        <f>IF('STEP 2-WQv Calculation'!$B$4="","",'STEP 2-WQv Calculation'!$B$4)</f>
        <v/>
      </c>
      <c r="C27" s="31"/>
      <c r="D27" s="31"/>
      <c r="E27" s="32"/>
      <c r="F27" s="33"/>
      <c r="G27" s="33"/>
      <c r="H27" s="33"/>
    </row>
    <row r="28" spans="1:16" ht="13.15" customHeight="1" x14ac:dyDescent="0.25">
      <c r="A28" s="331" t="s">
        <v>293</v>
      </c>
      <c r="B28" s="332"/>
      <c r="C28" s="332"/>
      <c r="D28" s="332"/>
      <c r="E28" s="332"/>
      <c r="F28" s="332"/>
      <c r="G28" s="332"/>
      <c r="H28" s="333"/>
    </row>
    <row r="29" spans="1:16" ht="38.5" x14ac:dyDescent="0.25">
      <c r="A29" s="204" t="s">
        <v>60</v>
      </c>
      <c r="B29" s="205" t="s">
        <v>61</v>
      </c>
      <c r="C29" s="205" t="s">
        <v>62</v>
      </c>
      <c r="D29" s="205" t="s">
        <v>63</v>
      </c>
      <c r="E29" s="205" t="s">
        <v>64</v>
      </c>
      <c r="F29" s="205" t="s">
        <v>65</v>
      </c>
      <c r="G29" s="205" t="s">
        <v>244</v>
      </c>
      <c r="H29" s="206" t="s">
        <v>13</v>
      </c>
    </row>
    <row r="30" spans="1:16" x14ac:dyDescent="0.25">
      <c r="A30" s="17"/>
      <c r="B30" s="18" t="str">
        <f>IF($A30="","",(LOOKUP($A30,'STEP 2-WQv Calculation'!$A$8:$A$37,'STEP 2-WQv Calculation'!$B$8:$B$37)))</f>
        <v/>
      </c>
      <c r="C30" s="18" t="str">
        <f>IF($A30="","",(LOOKUP($A30,'STEP 2-WQv Calculation'!$A$8:$A$37,'STEP 2-WQv Calculation'!$C$8:$C$37)))</f>
        <v/>
      </c>
      <c r="D30" s="53" t="str">
        <f>IF($A30="","",(LOOKUP($A30,'STEP 2-WQv Calculation'!$A$8:$A$37,'STEP 2-WQv Calculation'!$D$8:$D$37)))</f>
        <v/>
      </c>
      <c r="E30" s="18" t="str">
        <f>IF($A30="","",(LOOKUP($A30,'STEP 2-WQv Calculation'!$A$8:$A$37,'STEP 2-WQv Calculation'!$E$8:$E$37)))</f>
        <v/>
      </c>
      <c r="F30" s="42" t="str">
        <f>IF($A30="","",(LOOKUP($A30,'STEP 2-WQv Calculation'!$A$8:$A$37,'STEP 2-WQv Calculation'!$F$8:$F$37)))</f>
        <v/>
      </c>
      <c r="G30" s="18">
        <f>'STEP 2-WQv Calculation'!B5</f>
        <v>0</v>
      </c>
      <c r="H30" s="29" t="str">
        <f>IF($A30="","",(LOOKUP($A30,'STEP 2-WQv Calculation'!$A$8:$A$37,'STEP 2-WQv Calculation'!$G$8:$G$37)))</f>
        <v/>
      </c>
    </row>
    <row r="31" spans="1:16" ht="13.15" customHeight="1" x14ac:dyDescent="0.25">
      <c r="A31" s="242" t="s">
        <v>386</v>
      </c>
      <c r="B31" s="243"/>
      <c r="C31" s="244"/>
      <c r="D31" s="369" t="s">
        <v>389</v>
      </c>
      <c r="E31" s="370"/>
      <c r="F31" s="370"/>
      <c r="G31" s="370"/>
      <c r="H31" s="371"/>
    </row>
    <row r="32" spans="1:16" ht="13.15" customHeight="1" x14ac:dyDescent="0.3">
      <c r="A32" s="273" t="s">
        <v>226</v>
      </c>
      <c r="B32" s="273"/>
      <c r="C32" s="273"/>
      <c r="D32" s="273"/>
      <c r="E32" s="273"/>
      <c r="F32" s="273"/>
      <c r="G32" s="273"/>
      <c r="H32" s="273"/>
    </row>
    <row r="33" spans="1:9" ht="27.75" customHeight="1" x14ac:dyDescent="0.25">
      <c r="A33" s="242" t="s">
        <v>295</v>
      </c>
      <c r="B33" s="243"/>
      <c r="C33" s="244"/>
      <c r="D33" s="44"/>
      <c r="E33" s="322" t="str">
        <f>IF(D33="","",IF(AND(D31="Filtration Stormwater Planter",D33&lt;0.5),"Underdrain required",IF(AND(D31="Infiltration Stormwater Planter",D33&lt;0.5),"Does not meet design criteria. Design as Filtration Stormwater Planter","")))</f>
        <v/>
      </c>
      <c r="F33" s="323"/>
      <c r="G33" s="323"/>
      <c r="H33" s="324"/>
    </row>
    <row r="34" spans="1:9" s="1" customFormat="1" ht="14.5" x14ac:dyDescent="0.35">
      <c r="A34" s="245" t="s">
        <v>247</v>
      </c>
      <c r="B34" s="245"/>
      <c r="C34" s="245"/>
      <c r="D34" s="211"/>
      <c r="E34" s="322" t="str">
        <f>IF(D34="","This practice cannot be used for hotspot treatment",IF(D34="Yes","Does not meet design criteria",""))</f>
        <v>This practice cannot be used for hotspot treatment</v>
      </c>
      <c r="F34" s="323"/>
      <c r="G34" s="323"/>
      <c r="H34" s="324"/>
      <c r="I34" s="4"/>
    </row>
    <row r="35" spans="1:9" ht="13.15" customHeight="1" x14ac:dyDescent="0.25">
      <c r="A35" s="242" t="s">
        <v>387</v>
      </c>
      <c r="B35" s="243"/>
      <c r="C35" s="244"/>
      <c r="D35" s="227" t="e">
        <f>IF((B30*43560)&gt;15000,"Yes","No")</f>
        <v>#VALUE!</v>
      </c>
      <c r="E35" s="322" t="str">
        <f>IF(F30="","",IF(D35="","",IF(D35="Yes","Does not meet design criteria","")))</f>
        <v/>
      </c>
      <c r="F35" s="323"/>
      <c r="G35" s="323"/>
      <c r="H35" s="324"/>
    </row>
    <row r="36" spans="1:9" ht="27" customHeight="1" x14ac:dyDescent="0.25">
      <c r="A36" s="245" t="s">
        <v>377</v>
      </c>
      <c r="B36" s="245"/>
      <c r="C36" s="245"/>
      <c r="D36" s="211"/>
      <c r="E36" s="322" t="str">
        <f>IF(D36="Yes","Does not meet design criteria","")</f>
        <v/>
      </c>
      <c r="F36" s="323"/>
      <c r="G36" s="323"/>
      <c r="H36" s="324"/>
    </row>
    <row r="37" spans="1:9" ht="27" customHeight="1" x14ac:dyDescent="0.25">
      <c r="A37" s="242" t="s">
        <v>713</v>
      </c>
      <c r="B37" s="243"/>
      <c r="C37" s="244"/>
      <c r="D37" s="43"/>
      <c r="E37" s="322" t="str">
        <f>IF(D37="","",IF(AND(D31="Infiltration Stormwater Planter",D37&lt;2),"Does not meet design criteria. Design as Filtration Rain Garden",IF(AND(D31="Filtration Stormwater Planter",D37&lt;2),"Impermeable liner required","")))</f>
        <v/>
      </c>
      <c r="F37" s="323"/>
      <c r="G37" s="323"/>
      <c r="H37" s="324"/>
    </row>
    <row r="38" spans="1:9" ht="13.15" customHeight="1" x14ac:dyDescent="0.25">
      <c r="A38" s="242" t="s">
        <v>297</v>
      </c>
      <c r="B38" s="243"/>
      <c r="C38" s="244"/>
      <c r="D38" s="43"/>
      <c r="E38" s="322" t="str">
        <f>IF(D38="","",IF(AND(D31="Infiltration Stormwater Planter",D38&lt;2),"Does not meet design criteria. Design as Filtration Rain Garden",IF(AND(D31="Filtration Stormwater Planter",D38&lt;2),"Impermeable liner required","")))</f>
        <v/>
      </c>
      <c r="F38" s="323"/>
      <c r="G38" s="323"/>
      <c r="H38" s="324"/>
    </row>
    <row r="39" spans="1:9" ht="13.15" customHeight="1" x14ac:dyDescent="0.25">
      <c r="A39" s="242" t="s">
        <v>378</v>
      </c>
      <c r="B39" s="243"/>
      <c r="C39" s="244"/>
      <c r="D39" s="43"/>
      <c r="E39" s="322" t="str">
        <f>IF(D39="","",IF(D39&lt;3,"Does not meet design criteria",""))</f>
        <v/>
      </c>
      <c r="F39" s="323"/>
      <c r="G39" s="323"/>
      <c r="H39" s="324"/>
    </row>
    <row r="40" spans="1:9" ht="13.15" customHeight="1" x14ac:dyDescent="0.25">
      <c r="A40" s="242" t="s">
        <v>300</v>
      </c>
      <c r="B40" s="243"/>
      <c r="C40" s="244"/>
      <c r="D40" s="43"/>
      <c r="E40" s="322" t="str">
        <f>IF(D40="","",IF(AND(D31="Filtration Stormwater Planter",D40&lt;10),"Does not meet design criteria",IF(AND(D31="Infiltration Stormwater Planter",D40&lt;6),"Does not meet design criteria","")))</f>
        <v/>
      </c>
      <c r="F40" s="323"/>
      <c r="G40" s="323"/>
      <c r="H40" s="324"/>
    </row>
    <row r="41" spans="1:9" ht="13.15" customHeight="1" x14ac:dyDescent="0.25">
      <c r="A41" s="236" t="s">
        <v>232</v>
      </c>
      <c r="B41" s="237"/>
      <c r="C41" s="237"/>
      <c r="D41" s="237"/>
      <c r="E41" s="237"/>
      <c r="F41" s="237"/>
      <c r="G41" s="237"/>
      <c r="H41" s="238"/>
    </row>
    <row r="42" spans="1:9" ht="13" x14ac:dyDescent="0.25">
      <c r="A42" s="35"/>
      <c r="B42" s="36"/>
      <c r="C42" s="36"/>
      <c r="D42" s="37"/>
      <c r="E42" s="302" t="s">
        <v>256</v>
      </c>
      <c r="F42" s="302"/>
      <c r="G42" s="38" t="s">
        <v>257</v>
      </c>
      <c r="H42" s="38" t="s">
        <v>258</v>
      </c>
    </row>
    <row r="43" spans="1:9" ht="13.15" customHeight="1" x14ac:dyDescent="0.25">
      <c r="A43" s="289" t="s">
        <v>302</v>
      </c>
      <c r="B43" s="289"/>
      <c r="C43" s="289"/>
      <c r="D43" s="198" t="s">
        <v>303</v>
      </c>
      <c r="E43" s="334" t="str">
        <f>F30</f>
        <v/>
      </c>
      <c r="F43" s="334"/>
      <c r="G43" s="193" t="s">
        <v>2</v>
      </c>
      <c r="H43" s="219"/>
    </row>
    <row r="44" spans="1:9" ht="13.15" customHeight="1" x14ac:dyDescent="0.25">
      <c r="A44" s="289" t="s">
        <v>379</v>
      </c>
      <c r="B44" s="289"/>
      <c r="C44" s="289"/>
      <c r="D44" s="198" t="s">
        <v>305</v>
      </c>
      <c r="E44" s="336"/>
      <c r="F44" s="336"/>
      <c r="G44" s="193" t="s">
        <v>271</v>
      </c>
      <c r="H44" s="219" t="str">
        <f>IF(E44="","",IF(AND(D31="Filtration Stormwater Planter",E44&lt;1.5),"Does not meet design criteria",IF(AND(D31="Filtration Stormwater Planter",E44&gt;2.5),"Does not meet design criteria",IF(AND(D31="Infiltration Stormwater Planter",E44&lt;1.5),"Does not meet design criteria",IF(AND(D31="Infiltration Stormwater Planter",E44&gt;2.5),"Does not meet design criteria","")))))</f>
        <v/>
      </c>
    </row>
    <row r="45" spans="1:9" ht="13.15" customHeight="1" x14ac:dyDescent="0.25">
      <c r="A45" s="266" t="s">
        <v>306</v>
      </c>
      <c r="B45" s="267"/>
      <c r="C45" s="268"/>
      <c r="D45" s="198" t="s">
        <v>307</v>
      </c>
      <c r="E45" s="289">
        <v>1</v>
      </c>
      <c r="F45" s="289"/>
      <c r="G45" s="193" t="s">
        <v>308</v>
      </c>
      <c r="H45" s="219"/>
    </row>
    <row r="46" spans="1:9" ht="13.15" customHeight="1" x14ac:dyDescent="0.25">
      <c r="A46" s="289" t="s">
        <v>309</v>
      </c>
      <c r="B46" s="289"/>
      <c r="C46" s="289"/>
      <c r="D46" s="198" t="s">
        <v>310</v>
      </c>
      <c r="E46" s="336"/>
      <c r="F46" s="336"/>
      <c r="G46" s="193" t="s">
        <v>271</v>
      </c>
      <c r="H46" s="219" t="str">
        <f>IF(E46&gt;0.5,"Does not meet design criteia","")</f>
        <v/>
      </c>
    </row>
    <row r="47" spans="1:9" ht="13.15" customHeight="1" x14ac:dyDescent="0.25">
      <c r="A47" s="289" t="s">
        <v>388</v>
      </c>
      <c r="B47" s="289"/>
      <c r="C47" s="289"/>
      <c r="D47" s="198" t="s">
        <v>312</v>
      </c>
      <c r="E47" s="289">
        <v>2</v>
      </c>
      <c r="F47" s="289"/>
      <c r="G47" s="193" t="s">
        <v>313</v>
      </c>
      <c r="H47" s="219"/>
    </row>
    <row r="48" spans="1:9" ht="13.15" customHeight="1" x14ac:dyDescent="0.25">
      <c r="A48" s="266" t="s">
        <v>381</v>
      </c>
      <c r="B48" s="267"/>
      <c r="C48" s="268"/>
      <c r="D48" s="198" t="s">
        <v>315</v>
      </c>
      <c r="E48" s="308" t="e">
        <f>(E43*E44)/(E45*(E46+E44)*E47)</f>
        <v>#VALUE!</v>
      </c>
      <c r="F48" s="308"/>
      <c r="G48" s="193" t="s">
        <v>316</v>
      </c>
      <c r="H48" s="219"/>
    </row>
    <row r="49" spans="1:16" ht="13.15" customHeight="1" x14ac:dyDescent="0.25">
      <c r="A49" s="266" t="s">
        <v>382</v>
      </c>
      <c r="B49" s="267"/>
      <c r="C49" s="268"/>
      <c r="D49" s="198" t="s">
        <v>315</v>
      </c>
      <c r="E49" s="336"/>
      <c r="F49" s="336"/>
      <c r="G49" s="193" t="s">
        <v>316</v>
      </c>
      <c r="H49" s="219" t="str">
        <f>IF(E49="","",IF(E48&gt;E49,"Does not meet sizing criteria",""))</f>
        <v/>
      </c>
    </row>
    <row r="50" spans="1:16" ht="30" customHeight="1" x14ac:dyDescent="0.25">
      <c r="A50" s="266" t="s">
        <v>383</v>
      </c>
      <c r="B50" s="267"/>
      <c r="C50" s="268"/>
      <c r="D50" s="198" t="s">
        <v>384</v>
      </c>
      <c r="E50" s="266" t="str">
        <f>IF(E49="","",(E49*(E45*(E46+E44)*E47))/E44)</f>
        <v/>
      </c>
      <c r="F50" s="268"/>
      <c r="G50" s="193" t="s">
        <v>2</v>
      </c>
      <c r="H50" s="219" t="str">
        <f>IF(E50="","",IF(E49&gt;E50,"Does not meet sizing criteria",""))</f>
        <v/>
      </c>
    </row>
    <row r="51" spans="1:16" ht="13.15" customHeight="1" x14ac:dyDescent="0.25">
      <c r="A51" s="236" t="s">
        <v>276</v>
      </c>
      <c r="B51" s="237"/>
      <c r="C51" s="237"/>
      <c r="D51" s="237"/>
      <c r="E51" s="237"/>
      <c r="F51" s="237"/>
      <c r="G51" s="237"/>
      <c r="H51" s="238"/>
    </row>
    <row r="52" spans="1:16" s="34" customFormat="1" ht="30.25" customHeight="1" x14ac:dyDescent="0.3">
      <c r="A52" s="335" t="s">
        <v>241</v>
      </c>
      <c r="B52" s="335"/>
      <c r="C52" s="9" t="str">
        <f>IF(A30="","",IF(D34="Yes",0,IF(B30="",0,IF(AND(D31="Infiltration Stormwater Planter",D33&lt;0.5),0,IF(D35="Yes",0,IF(D36="Yes",0,IF(AND(D31="Infiltration Stormwater Planter",D37&lt;2),0,IF(AND(D31="Infiltration Stormwater Planter",D38&lt;2),0,IF(D39&lt;3,0,IF(AND(D31="Filtration Stormwater Planter",D40&lt;10),0,IF(AND(D31="Infiltration Stormwater Planter",D40&lt;6),0,IF(E44&lt;1.5,0,IF(E44&gt;2.5,0,IF(E46&gt;0.5,0,IF(E49&lt;E48,0,IF(AND(D31="Filtration Stormwater Planter",E50*0.4&lt;=F30),E50*0.4,IF(AND(D31="Filtration Stormwater Planter",E50*0.4&gt;F30),F30,IF(D31="Infiltration Stormwater Planter",F30*1))))))))))))))))))</f>
        <v/>
      </c>
      <c r="D52" s="310" t="s">
        <v>2</v>
      </c>
      <c r="E52" s="311"/>
      <c r="F52" s="311"/>
      <c r="G52" s="311"/>
      <c r="H52" s="312"/>
      <c r="I52" s="4"/>
      <c r="J52" s="4"/>
      <c r="K52" s="4"/>
      <c r="L52" s="4"/>
      <c r="M52" s="4"/>
      <c r="N52" s="4"/>
      <c r="O52" s="4"/>
      <c r="P52" s="4"/>
    </row>
    <row r="53" spans="1:16" ht="13" x14ac:dyDescent="0.3">
      <c r="A53" s="24" t="s">
        <v>56</v>
      </c>
      <c r="B53" s="23" t="str">
        <f>IF('STEP 2-WQv Calculation'!$B$4="","",'STEP 2-WQv Calculation'!$B$4)</f>
        <v/>
      </c>
      <c r="C53" s="31"/>
      <c r="D53" s="31"/>
      <c r="E53" s="32"/>
      <c r="F53" s="33"/>
      <c r="G53" s="33"/>
      <c r="H53" s="33"/>
    </row>
    <row r="54" spans="1:16" ht="13.15" customHeight="1" x14ac:dyDescent="0.25">
      <c r="A54" s="331" t="s">
        <v>293</v>
      </c>
      <c r="B54" s="332"/>
      <c r="C54" s="332"/>
      <c r="D54" s="332"/>
      <c r="E54" s="332"/>
      <c r="F54" s="332"/>
      <c r="G54" s="332"/>
      <c r="H54" s="333"/>
    </row>
    <row r="55" spans="1:16" ht="38.5" x14ac:dyDescent="0.25">
      <c r="A55" s="204" t="s">
        <v>60</v>
      </c>
      <c r="B55" s="205" t="s">
        <v>61</v>
      </c>
      <c r="C55" s="205" t="s">
        <v>62</v>
      </c>
      <c r="D55" s="205" t="s">
        <v>63</v>
      </c>
      <c r="E55" s="205" t="s">
        <v>64</v>
      </c>
      <c r="F55" s="205" t="s">
        <v>65</v>
      </c>
      <c r="G55" s="205" t="s">
        <v>244</v>
      </c>
      <c r="H55" s="206" t="s">
        <v>13</v>
      </c>
    </row>
    <row r="56" spans="1:16" x14ac:dyDescent="0.25">
      <c r="A56" s="17"/>
      <c r="B56" s="18" t="str">
        <f>IF($A56="","",(LOOKUP($A56,'STEP 2-WQv Calculation'!$A$8:$A$37,'STEP 2-WQv Calculation'!$B$8:$B$37)))</f>
        <v/>
      </c>
      <c r="C56" s="18" t="str">
        <f>IF($A56="","",(LOOKUP($A56,'STEP 2-WQv Calculation'!$A$8:$A$37,'STEP 2-WQv Calculation'!$C$8:$C$37)))</f>
        <v/>
      </c>
      <c r="D56" s="53" t="str">
        <f>IF($A56="","",(LOOKUP($A56,'STEP 2-WQv Calculation'!$A$8:$A$37,'STEP 2-WQv Calculation'!$D$8:$D$37)))</f>
        <v/>
      </c>
      <c r="E56" s="18" t="str">
        <f>IF($A56="","",(LOOKUP($A56,'STEP 2-WQv Calculation'!$A$8:$A$37,'STEP 2-WQv Calculation'!$E$8:$E$37)))</f>
        <v/>
      </c>
      <c r="F56" s="42" t="str">
        <f>IF($A56="","",(LOOKUP($A56,'STEP 2-WQv Calculation'!$A$8:$A$37,'STEP 2-WQv Calculation'!$F$8:$F$37)))</f>
        <v/>
      </c>
      <c r="G56" s="18">
        <f>'STEP 2-WQv Calculation'!B5</f>
        <v>0</v>
      </c>
      <c r="H56" s="29" t="str">
        <f>IF($A56="","",(LOOKUP($A56,'STEP 2-WQv Calculation'!$A$8:$A$37,'STEP 2-WQv Calculation'!$G$8:$G$37)))</f>
        <v/>
      </c>
    </row>
    <row r="57" spans="1:16" ht="13.15" customHeight="1" x14ac:dyDescent="0.25">
      <c r="A57" s="242" t="s">
        <v>386</v>
      </c>
      <c r="B57" s="243"/>
      <c r="C57" s="244"/>
      <c r="D57" s="364" t="s">
        <v>389</v>
      </c>
      <c r="E57" s="365"/>
      <c r="F57" s="365"/>
      <c r="G57" s="365"/>
      <c r="H57" s="366"/>
    </row>
    <row r="58" spans="1:16" ht="13.15" customHeight="1" x14ac:dyDescent="0.3">
      <c r="A58" s="273" t="s">
        <v>226</v>
      </c>
      <c r="B58" s="273"/>
      <c r="C58" s="273"/>
      <c r="D58" s="273"/>
      <c r="E58" s="273"/>
      <c r="F58" s="273"/>
      <c r="G58" s="273"/>
      <c r="H58" s="273"/>
    </row>
    <row r="59" spans="1:16" ht="27.75" customHeight="1" x14ac:dyDescent="0.25">
      <c r="A59" s="242" t="s">
        <v>295</v>
      </c>
      <c r="B59" s="243"/>
      <c r="C59" s="244"/>
      <c r="D59" s="44"/>
      <c r="E59" s="322" t="str">
        <f>IF(D59="","",IF(AND(D57="Filtration Stormwater Planter",D59&lt;0.5),"Underdrain required",IF(AND(D57="Infiltration Stormwater Planter",D59&lt;0.5),"Does not meet design criteria. Design as Filtration Stormwater Planter","")))</f>
        <v/>
      </c>
      <c r="F59" s="323"/>
      <c r="G59" s="323"/>
      <c r="H59" s="324"/>
    </row>
    <row r="60" spans="1:16" s="1" customFormat="1" ht="14.5" x14ac:dyDescent="0.35">
      <c r="A60" s="245" t="s">
        <v>247</v>
      </c>
      <c r="B60" s="245"/>
      <c r="C60" s="245"/>
      <c r="D60" s="211"/>
      <c r="E60" s="322" t="str">
        <f>IF(D60="","This practice cannot be used for hotspot treatment",IF(D60="Yes","Does not meet design criteria",""))</f>
        <v>This practice cannot be used for hotspot treatment</v>
      </c>
      <c r="F60" s="323"/>
      <c r="G60" s="323"/>
      <c r="H60" s="324"/>
      <c r="I60" s="4"/>
    </row>
    <row r="61" spans="1:16" ht="13.15" customHeight="1" x14ac:dyDescent="0.25">
      <c r="A61" s="242" t="s">
        <v>387</v>
      </c>
      <c r="B61" s="243"/>
      <c r="C61" s="244"/>
      <c r="D61" s="227" t="e">
        <f>IF((B56*43560)&gt;15000,"Yes","No")</f>
        <v>#VALUE!</v>
      </c>
      <c r="E61" s="322" t="str">
        <f>IF(F56="","",IF(D61="","",IF(D61="Yes","Does not meet design criteria","")))</f>
        <v/>
      </c>
      <c r="F61" s="323"/>
      <c r="G61" s="323"/>
      <c r="H61" s="324"/>
    </row>
    <row r="62" spans="1:16" ht="27" customHeight="1" x14ac:dyDescent="0.25">
      <c r="A62" s="245" t="s">
        <v>377</v>
      </c>
      <c r="B62" s="245"/>
      <c r="C62" s="245"/>
      <c r="D62" s="211"/>
      <c r="E62" s="322" t="str">
        <f>IF(D62="Yes","Does not meet design criteria","")</f>
        <v/>
      </c>
      <c r="F62" s="323"/>
      <c r="G62" s="323"/>
      <c r="H62" s="324"/>
    </row>
    <row r="63" spans="1:16" ht="27.75" customHeight="1" x14ac:dyDescent="0.25">
      <c r="A63" s="242" t="s">
        <v>713</v>
      </c>
      <c r="B63" s="243"/>
      <c r="C63" s="244"/>
      <c r="D63" s="43"/>
      <c r="E63" s="322" t="str">
        <f>IF(D63="","",IF(AND(D57="Infiltration Stormwater Planter",D63&lt;2),"Does not meet design criteria. Design as Filtration Rain Garden",IF(AND(D57="Filtration Stormwater Planter",D63&lt;2),"Impermeable liner required","")))</f>
        <v/>
      </c>
      <c r="F63" s="323"/>
      <c r="G63" s="323"/>
      <c r="H63" s="324"/>
    </row>
    <row r="64" spans="1:16" ht="13.15" customHeight="1" x14ac:dyDescent="0.25">
      <c r="A64" s="242" t="s">
        <v>297</v>
      </c>
      <c r="B64" s="243"/>
      <c r="C64" s="244"/>
      <c r="D64" s="43"/>
      <c r="E64" s="322" t="str">
        <f>IF(D64="","",IF(AND(D57="Infiltration Stormwater Planter",D64&lt;2),"Does not meet design criteria. Design as Filtration Rain Garden",IF(AND(D57="Filtration Stormwater Planter",D64&lt;2),"Impermeable liner required","")))</f>
        <v/>
      </c>
      <c r="F64" s="323"/>
      <c r="G64" s="323"/>
      <c r="H64" s="324"/>
    </row>
    <row r="65" spans="1:16" ht="13.15" customHeight="1" x14ac:dyDescent="0.25">
      <c r="A65" s="242" t="s">
        <v>378</v>
      </c>
      <c r="B65" s="243"/>
      <c r="C65" s="244"/>
      <c r="D65" s="43"/>
      <c r="E65" s="322" t="str">
        <f>IF(D65="","",IF(D65&lt;3,"Does not meet design criteria",""))</f>
        <v/>
      </c>
      <c r="F65" s="323"/>
      <c r="G65" s="323"/>
      <c r="H65" s="324"/>
    </row>
    <row r="66" spans="1:16" ht="13.15" customHeight="1" x14ac:dyDescent="0.25">
      <c r="A66" s="242" t="s">
        <v>300</v>
      </c>
      <c r="B66" s="243"/>
      <c r="C66" s="244"/>
      <c r="D66" s="43"/>
      <c r="E66" s="322" t="str">
        <f>IF(D66="","",IF(AND(D57="Filtration Stormwater Planter",D66&lt;10),"Does not meet design criteria",IF(AND(D57="Infiltration Stormwater Planter",D66&lt;6),"Does not meet design criteria","")))</f>
        <v/>
      </c>
      <c r="F66" s="323"/>
      <c r="G66" s="323"/>
      <c r="H66" s="324"/>
    </row>
    <row r="67" spans="1:16" ht="13.15" customHeight="1" x14ac:dyDescent="0.25">
      <c r="A67" s="236" t="s">
        <v>232</v>
      </c>
      <c r="B67" s="237"/>
      <c r="C67" s="237"/>
      <c r="D67" s="237"/>
      <c r="E67" s="237"/>
      <c r="F67" s="237"/>
      <c r="G67" s="237"/>
      <c r="H67" s="238"/>
    </row>
    <row r="68" spans="1:16" ht="13" x14ac:dyDescent="0.25">
      <c r="A68" s="35"/>
      <c r="B68" s="36"/>
      <c r="C68" s="36"/>
      <c r="D68" s="37"/>
      <c r="E68" s="302" t="s">
        <v>256</v>
      </c>
      <c r="F68" s="302"/>
      <c r="G68" s="38" t="s">
        <v>257</v>
      </c>
      <c r="H68" s="38" t="s">
        <v>258</v>
      </c>
    </row>
    <row r="69" spans="1:16" ht="13.15" customHeight="1" x14ac:dyDescent="0.25">
      <c r="A69" s="289" t="s">
        <v>302</v>
      </c>
      <c r="B69" s="289"/>
      <c r="C69" s="289"/>
      <c r="D69" s="198" t="s">
        <v>303</v>
      </c>
      <c r="E69" s="334" t="str">
        <f>F56</f>
        <v/>
      </c>
      <c r="F69" s="334"/>
      <c r="G69" s="193" t="s">
        <v>2</v>
      </c>
      <c r="H69" s="219"/>
    </row>
    <row r="70" spans="1:16" ht="13.15" customHeight="1" x14ac:dyDescent="0.25">
      <c r="A70" s="289" t="s">
        <v>379</v>
      </c>
      <c r="B70" s="289"/>
      <c r="C70" s="289"/>
      <c r="D70" s="198" t="s">
        <v>305</v>
      </c>
      <c r="E70" s="336"/>
      <c r="F70" s="336"/>
      <c r="G70" s="193" t="s">
        <v>271</v>
      </c>
      <c r="H70" s="219" t="str">
        <f>IF(E70="","",IF(AND(D57="Filtration Stormwater Planter",E70&lt;1.5),"Does not meet design criteria",IF(AND(D57="Filtration Stormwater Planter",E70&gt;2.5),"Does not meet design criteria",IF(AND(D57="Infiltration Stormwater Planter",E70&lt;1.5),"Does not meet design criteria",IF(AND(D57="Infiltration Stormwater Planter",E70&gt;2.5),"Does not meet design criteria","")))))</f>
        <v/>
      </c>
    </row>
    <row r="71" spans="1:16" ht="13.15" customHeight="1" x14ac:dyDescent="0.25">
      <c r="A71" s="266" t="s">
        <v>306</v>
      </c>
      <c r="B71" s="267"/>
      <c r="C71" s="268"/>
      <c r="D71" s="198" t="s">
        <v>307</v>
      </c>
      <c r="E71" s="289">
        <v>1</v>
      </c>
      <c r="F71" s="289"/>
      <c r="G71" s="193" t="s">
        <v>308</v>
      </c>
      <c r="H71" s="219"/>
    </row>
    <row r="72" spans="1:16" ht="13.15" customHeight="1" x14ac:dyDescent="0.25">
      <c r="A72" s="289" t="s">
        <v>309</v>
      </c>
      <c r="B72" s="289"/>
      <c r="C72" s="289"/>
      <c r="D72" s="198" t="s">
        <v>310</v>
      </c>
      <c r="E72" s="336"/>
      <c r="F72" s="336"/>
      <c r="G72" s="193" t="s">
        <v>271</v>
      </c>
      <c r="H72" s="219" t="str">
        <f>IF(E72&gt;0.5,"Does not meet design criteia","")</f>
        <v/>
      </c>
    </row>
    <row r="73" spans="1:16" ht="13.15" customHeight="1" x14ac:dyDescent="0.25">
      <c r="A73" s="289" t="s">
        <v>388</v>
      </c>
      <c r="B73" s="289"/>
      <c r="C73" s="289"/>
      <c r="D73" s="198" t="s">
        <v>312</v>
      </c>
      <c r="E73" s="289">
        <v>2</v>
      </c>
      <c r="F73" s="289"/>
      <c r="G73" s="193" t="s">
        <v>313</v>
      </c>
      <c r="H73" s="219"/>
    </row>
    <row r="74" spans="1:16" ht="13.15" customHeight="1" x14ac:dyDescent="0.25">
      <c r="A74" s="266" t="s">
        <v>381</v>
      </c>
      <c r="B74" s="267"/>
      <c r="C74" s="268"/>
      <c r="D74" s="198" t="s">
        <v>315</v>
      </c>
      <c r="E74" s="308" t="e">
        <f>(E69*E70)/(E71*(E72+E70)*E73)</f>
        <v>#VALUE!</v>
      </c>
      <c r="F74" s="308"/>
      <c r="G74" s="193" t="s">
        <v>316</v>
      </c>
      <c r="H74" s="219"/>
    </row>
    <row r="75" spans="1:16" ht="13.15" customHeight="1" x14ac:dyDescent="0.25">
      <c r="A75" s="266" t="s">
        <v>382</v>
      </c>
      <c r="B75" s="267"/>
      <c r="C75" s="268"/>
      <c r="D75" s="198" t="s">
        <v>315</v>
      </c>
      <c r="E75" s="336"/>
      <c r="F75" s="336"/>
      <c r="G75" s="193" t="s">
        <v>316</v>
      </c>
      <c r="H75" s="219" t="str">
        <f>IF(E75="","",IF(E74&gt;E75,"Does not meet sizing criteria",""))</f>
        <v/>
      </c>
    </row>
    <row r="76" spans="1:16" ht="30" customHeight="1" x14ac:dyDescent="0.25">
      <c r="A76" s="266" t="s">
        <v>383</v>
      </c>
      <c r="B76" s="267"/>
      <c r="C76" s="268"/>
      <c r="D76" s="198" t="s">
        <v>384</v>
      </c>
      <c r="E76" s="266" t="str">
        <f>IF(E75="","",(E75*(E71*(E72+E70)*E73))/E70)</f>
        <v/>
      </c>
      <c r="F76" s="268"/>
      <c r="G76" s="193" t="s">
        <v>2</v>
      </c>
      <c r="H76" s="219" t="str">
        <f>IF(E76="","",IF(E75&gt;E76,"Does not meet sizing criteria",""))</f>
        <v/>
      </c>
    </row>
    <row r="77" spans="1:16" ht="13.15" customHeight="1" x14ac:dyDescent="0.25">
      <c r="A77" s="236" t="s">
        <v>276</v>
      </c>
      <c r="B77" s="237"/>
      <c r="C77" s="237"/>
      <c r="D77" s="237"/>
      <c r="E77" s="237"/>
      <c r="F77" s="237"/>
      <c r="G77" s="237"/>
      <c r="H77" s="238"/>
    </row>
    <row r="78" spans="1:16" s="34" customFormat="1" ht="30.25" customHeight="1" x14ac:dyDescent="0.3">
      <c r="A78" s="335" t="s">
        <v>241</v>
      </c>
      <c r="B78" s="335"/>
      <c r="C78" s="9" t="str">
        <f>IF(A56="","",IF(D60="Yes",0,IF(B56="",0,IF(AND(D57="Infiltration Stormwater Planter",D59&lt;0.5),0,IF(D61="Yes",0,IF(D62="Yes",0,IF(AND(D57="Infiltration Stormwater Planter",D63&lt;2),0,IF(AND(D57="Infiltration Stormwater Planter",D64&lt;2),0,IF(D65&lt;3,0,IF(AND(D57="Filtration Stormwater Planter",D66&lt;10),0,IF(AND(D57="Infiltration Stormwater Planter",D66&lt;6),0,IF(E70&lt;1.5,0,IF(E70&gt;2.5,0,IF(E72&gt;0.5,0,IF(E75&lt;E74,0,IF(AND(D57="Filtration Stormwater Planter",E76*0.4&lt;=F56),E76*0.4,IF(AND(D57="Filtration Stormwater Planter",E76*0.4&gt;F56),F56,IF(D57="Infiltration Stormwater Planter",F56*1))))))))))))))))))</f>
        <v/>
      </c>
      <c r="D78" s="310" t="s">
        <v>2</v>
      </c>
      <c r="E78" s="311"/>
      <c r="F78" s="311"/>
      <c r="G78" s="311"/>
      <c r="H78" s="312"/>
      <c r="I78" s="4"/>
      <c r="J78" s="4"/>
      <c r="K78" s="4"/>
      <c r="L78" s="4"/>
      <c r="M78" s="4"/>
      <c r="N78" s="4"/>
      <c r="O78" s="4"/>
      <c r="P78" s="4"/>
    </row>
    <row r="79" spans="1:16" ht="13" x14ac:dyDescent="0.3">
      <c r="A79" s="24" t="s">
        <v>56</v>
      </c>
      <c r="B79" s="23" t="str">
        <f>IF('STEP 2-WQv Calculation'!$B$4="","",'STEP 2-WQv Calculation'!$B$4)</f>
        <v/>
      </c>
      <c r="C79" s="31"/>
      <c r="D79" s="31"/>
      <c r="E79" s="32"/>
      <c r="F79" s="33"/>
      <c r="G79" s="33"/>
      <c r="H79" s="33"/>
    </row>
    <row r="80" spans="1:16" ht="13.15" customHeight="1" x14ac:dyDescent="0.25">
      <c r="A80" s="331" t="s">
        <v>293</v>
      </c>
      <c r="B80" s="332"/>
      <c r="C80" s="332"/>
      <c r="D80" s="332"/>
      <c r="E80" s="332"/>
      <c r="F80" s="332"/>
      <c r="G80" s="332"/>
      <c r="H80" s="333"/>
    </row>
    <row r="81" spans="1:9" ht="38.5" x14ac:dyDescent="0.25">
      <c r="A81" s="204" t="s">
        <v>60</v>
      </c>
      <c r="B81" s="205" t="s">
        <v>61</v>
      </c>
      <c r="C81" s="205" t="s">
        <v>62</v>
      </c>
      <c r="D81" s="205" t="s">
        <v>63</v>
      </c>
      <c r="E81" s="205" t="s">
        <v>64</v>
      </c>
      <c r="F81" s="205" t="s">
        <v>65</v>
      </c>
      <c r="G81" s="205" t="s">
        <v>244</v>
      </c>
      <c r="H81" s="206" t="s">
        <v>13</v>
      </c>
    </row>
    <row r="82" spans="1:9" x14ac:dyDescent="0.25">
      <c r="A82" s="17"/>
      <c r="B82" s="18" t="str">
        <f>IF($A82="","",(LOOKUP($A82,'STEP 2-WQv Calculation'!$A$8:$A$37,'STEP 2-WQv Calculation'!$B$8:$B$37)))</f>
        <v/>
      </c>
      <c r="C82" s="18" t="str">
        <f>IF($A82="","",(LOOKUP($A82,'STEP 2-WQv Calculation'!$A$8:$A$37,'STEP 2-WQv Calculation'!$C$8:$C$37)))</f>
        <v/>
      </c>
      <c r="D82" s="53" t="str">
        <f>IF($A82="","",(LOOKUP($A82,'STEP 2-WQv Calculation'!$A$8:$A$37,'STEP 2-WQv Calculation'!$D$8:$D$37)))</f>
        <v/>
      </c>
      <c r="E82" s="18" t="str">
        <f>IF($A82="","",(LOOKUP($A82,'STEP 2-WQv Calculation'!$A$8:$A$37,'STEP 2-WQv Calculation'!$E$8:$E$37)))</f>
        <v/>
      </c>
      <c r="F82" s="42" t="str">
        <f>IF($A82="","",(LOOKUP($A82,'STEP 2-WQv Calculation'!$A$8:$A$37,'STEP 2-WQv Calculation'!$F$8:$F$37)))</f>
        <v/>
      </c>
      <c r="G82" s="18">
        <f>'STEP 2-WQv Calculation'!B5</f>
        <v>0</v>
      </c>
      <c r="H82" s="29" t="str">
        <f>IF($A82="","",(LOOKUP($A82,'STEP 2-WQv Calculation'!$A$8:$A$37,'STEP 2-WQv Calculation'!$G$8:$G$37)))</f>
        <v/>
      </c>
    </row>
    <row r="83" spans="1:9" ht="13.15" customHeight="1" x14ac:dyDescent="0.25">
      <c r="A83" s="242" t="s">
        <v>386</v>
      </c>
      <c r="B83" s="243"/>
      <c r="C83" s="244"/>
      <c r="D83" s="364" t="s">
        <v>389</v>
      </c>
      <c r="E83" s="365"/>
      <c r="F83" s="365"/>
      <c r="G83" s="365"/>
      <c r="H83" s="366"/>
    </row>
    <row r="84" spans="1:9" ht="13.15" customHeight="1" x14ac:dyDescent="0.3">
      <c r="A84" s="273" t="s">
        <v>226</v>
      </c>
      <c r="B84" s="273"/>
      <c r="C84" s="273"/>
      <c r="D84" s="273"/>
      <c r="E84" s="273"/>
      <c r="F84" s="273"/>
      <c r="G84" s="273"/>
      <c r="H84" s="273"/>
    </row>
    <row r="85" spans="1:9" ht="27.75" customHeight="1" x14ac:dyDescent="0.25">
      <c r="A85" s="242" t="s">
        <v>295</v>
      </c>
      <c r="B85" s="243"/>
      <c r="C85" s="244"/>
      <c r="D85" s="44"/>
      <c r="E85" s="322" t="str">
        <f>IF(D85="","",IF(AND(D83="Filtration Stormwater Planter",D85&lt;0.5),"Underdrain required",IF(AND(D83="Infiltration Stormwater Planter",D85&lt;0.5),"Does not meet design criteria. Design as Filtration Stormwater Planter","")))</f>
        <v/>
      </c>
      <c r="F85" s="323"/>
      <c r="G85" s="323"/>
      <c r="H85" s="324"/>
    </row>
    <row r="86" spans="1:9" s="1" customFormat="1" ht="14.5" x14ac:dyDescent="0.35">
      <c r="A86" s="245" t="s">
        <v>247</v>
      </c>
      <c r="B86" s="245"/>
      <c r="C86" s="245"/>
      <c r="D86" s="211"/>
      <c r="E86" s="322" t="str">
        <f>IF(D86="","This practice cannot be used for hotspot treatment",IF(D86="Yes","Does not meet design criteria",""))</f>
        <v>This practice cannot be used for hotspot treatment</v>
      </c>
      <c r="F86" s="323"/>
      <c r="G86" s="323"/>
      <c r="H86" s="324"/>
      <c r="I86" s="4"/>
    </row>
    <row r="87" spans="1:9" ht="13.15" customHeight="1" x14ac:dyDescent="0.25">
      <c r="A87" s="242" t="s">
        <v>387</v>
      </c>
      <c r="B87" s="243"/>
      <c r="C87" s="244"/>
      <c r="D87" s="227" t="e">
        <f>IF((B82*43560)&gt;15000,"Yes","No")</f>
        <v>#VALUE!</v>
      </c>
      <c r="E87" s="322" t="str">
        <f>IF(F82="","",IF(D87="","",IF(D87="Yes","Does not meet design criteria","")))</f>
        <v/>
      </c>
      <c r="F87" s="323"/>
      <c r="G87" s="323"/>
      <c r="H87" s="324"/>
    </row>
    <row r="88" spans="1:9" ht="25.5" customHeight="1" x14ac:dyDescent="0.25">
      <c r="A88" s="245" t="s">
        <v>377</v>
      </c>
      <c r="B88" s="245"/>
      <c r="C88" s="245"/>
      <c r="D88" s="211"/>
      <c r="E88" s="322" t="str">
        <f>IF(D88="Yes","Does not meet design criteria","")</f>
        <v/>
      </c>
      <c r="F88" s="323"/>
      <c r="G88" s="323"/>
      <c r="H88" s="324"/>
    </row>
    <row r="89" spans="1:9" ht="25.5" customHeight="1" x14ac:dyDescent="0.25">
      <c r="A89" s="242" t="s">
        <v>713</v>
      </c>
      <c r="B89" s="243"/>
      <c r="C89" s="244"/>
      <c r="D89" s="43"/>
      <c r="E89" s="322" t="str">
        <f>IF(D89="","",IF(AND(D83="Infiltration Stormwater Planter",D89&lt;2),"Does not meet design criteria. Design as Filtration Rain Garden",IF(AND(D83="Filtration Stormwater Planter",D89&lt;2),"Impermeable liner required","")))</f>
        <v/>
      </c>
      <c r="F89" s="323"/>
      <c r="G89" s="323"/>
      <c r="H89" s="324"/>
    </row>
    <row r="90" spans="1:9" ht="13.15" customHeight="1" x14ac:dyDescent="0.25">
      <c r="A90" s="242" t="s">
        <v>297</v>
      </c>
      <c r="B90" s="243"/>
      <c r="C90" s="244"/>
      <c r="D90" s="43"/>
      <c r="E90" s="322" t="str">
        <f>IF(D90="","",IF(AND(D83="Infiltration Stormwater Planter",D90&lt;2),"Does not meet design criteria. Design as Filtration Rain Garden",IF(AND(D83="Filtration Stormwater Planter",D90&lt;2),"Impermeable liner required","")))</f>
        <v/>
      </c>
      <c r="F90" s="323"/>
      <c r="G90" s="323"/>
      <c r="H90" s="324"/>
    </row>
    <row r="91" spans="1:9" ht="13.15" customHeight="1" x14ac:dyDescent="0.25">
      <c r="A91" s="242" t="s">
        <v>378</v>
      </c>
      <c r="B91" s="243"/>
      <c r="C91" s="244"/>
      <c r="D91" s="43"/>
      <c r="E91" s="322" t="str">
        <f>IF(D91="","",IF(D91&lt;3,"Does not meet design criteria",""))</f>
        <v/>
      </c>
      <c r="F91" s="323"/>
      <c r="G91" s="323"/>
      <c r="H91" s="324"/>
    </row>
    <row r="92" spans="1:9" ht="13.15" customHeight="1" x14ac:dyDescent="0.25">
      <c r="A92" s="242" t="s">
        <v>300</v>
      </c>
      <c r="B92" s="243"/>
      <c r="C92" s="244"/>
      <c r="D92" s="43"/>
      <c r="E92" s="322" t="str">
        <f>IF(D92="","",IF(AND(D83="Filtration Stormwater Planter",D92&lt;10),"Does not meet design criteria",IF(AND(D83="Infiltration Stormwater Planter",D92&lt;6),"Does not meet design criteria","")))</f>
        <v/>
      </c>
      <c r="F92" s="323"/>
      <c r="G92" s="323"/>
      <c r="H92" s="324"/>
    </row>
    <row r="93" spans="1:9" ht="13.15" customHeight="1" x14ac:dyDescent="0.25">
      <c r="A93" s="236" t="s">
        <v>232</v>
      </c>
      <c r="B93" s="237"/>
      <c r="C93" s="237"/>
      <c r="D93" s="237"/>
      <c r="E93" s="237"/>
      <c r="F93" s="237"/>
      <c r="G93" s="237"/>
      <c r="H93" s="238"/>
    </row>
    <row r="94" spans="1:9" ht="13" x14ac:dyDescent="0.25">
      <c r="A94" s="35"/>
      <c r="B94" s="36"/>
      <c r="C94" s="36"/>
      <c r="D94" s="37"/>
      <c r="E94" s="302" t="s">
        <v>256</v>
      </c>
      <c r="F94" s="302"/>
      <c r="G94" s="38" t="s">
        <v>257</v>
      </c>
      <c r="H94" s="38" t="s">
        <v>258</v>
      </c>
    </row>
    <row r="95" spans="1:9" ht="13.15" customHeight="1" x14ac:dyDescent="0.25">
      <c r="A95" s="289" t="s">
        <v>302</v>
      </c>
      <c r="B95" s="289"/>
      <c r="C95" s="289"/>
      <c r="D95" s="198" t="s">
        <v>303</v>
      </c>
      <c r="E95" s="334" t="str">
        <f>F82</f>
        <v/>
      </c>
      <c r="F95" s="334"/>
      <c r="G95" s="193" t="s">
        <v>2</v>
      </c>
      <c r="H95" s="219"/>
    </row>
    <row r="96" spans="1:9" ht="13.15" customHeight="1" x14ac:dyDescent="0.25">
      <c r="A96" s="289" t="s">
        <v>379</v>
      </c>
      <c r="B96" s="289"/>
      <c r="C96" s="289"/>
      <c r="D96" s="198" t="s">
        <v>305</v>
      </c>
      <c r="E96" s="336"/>
      <c r="F96" s="336"/>
      <c r="G96" s="193" t="s">
        <v>271</v>
      </c>
      <c r="H96" s="219" t="str">
        <f>IF(E96="","",IF(AND(D83="Filtration Stormwater Planter",E96&lt;1.5),"Does not meet design criteria",IF(AND(D83="Filtration Stormwater Planter",E96&gt;2.5),"Does not meet design criteria",IF(AND(D83="Infiltration Stormwater Planter",E96&lt;1.5),"Does not meet design criteria",IF(AND(D83="Infiltration Stormwater Planter",E96&gt;2.5),"Does not meet design criteria","")))))</f>
        <v/>
      </c>
    </row>
    <row r="97" spans="1:16" ht="13.15" customHeight="1" x14ac:dyDescent="0.25">
      <c r="A97" s="266" t="s">
        <v>306</v>
      </c>
      <c r="B97" s="267"/>
      <c r="C97" s="268"/>
      <c r="D97" s="198" t="s">
        <v>307</v>
      </c>
      <c r="E97" s="289">
        <v>1</v>
      </c>
      <c r="F97" s="289"/>
      <c r="G97" s="193" t="s">
        <v>308</v>
      </c>
      <c r="H97" s="219"/>
    </row>
    <row r="98" spans="1:16" ht="13.15" customHeight="1" x14ac:dyDescent="0.25">
      <c r="A98" s="289" t="s">
        <v>309</v>
      </c>
      <c r="B98" s="289"/>
      <c r="C98" s="289"/>
      <c r="D98" s="198" t="s">
        <v>310</v>
      </c>
      <c r="E98" s="336"/>
      <c r="F98" s="336"/>
      <c r="G98" s="193" t="s">
        <v>271</v>
      </c>
      <c r="H98" s="219" t="str">
        <f>IF(E98&gt;0.5,"Does not meet design criteia","")</f>
        <v/>
      </c>
    </row>
    <row r="99" spans="1:16" ht="13.15" customHeight="1" x14ac:dyDescent="0.25">
      <c r="A99" s="289" t="s">
        <v>388</v>
      </c>
      <c r="B99" s="289"/>
      <c r="C99" s="289"/>
      <c r="D99" s="198" t="s">
        <v>312</v>
      </c>
      <c r="E99" s="289">
        <v>2</v>
      </c>
      <c r="F99" s="289"/>
      <c r="G99" s="193" t="s">
        <v>313</v>
      </c>
      <c r="H99" s="219"/>
    </row>
    <row r="100" spans="1:16" ht="13.15" customHeight="1" x14ac:dyDescent="0.25">
      <c r="A100" s="266" t="s">
        <v>381</v>
      </c>
      <c r="B100" s="267"/>
      <c r="C100" s="268"/>
      <c r="D100" s="198" t="s">
        <v>315</v>
      </c>
      <c r="E100" s="308" t="e">
        <f>(E95*E96)/(E97*(E98+E96)*E99)</f>
        <v>#VALUE!</v>
      </c>
      <c r="F100" s="308"/>
      <c r="G100" s="193" t="s">
        <v>316</v>
      </c>
      <c r="H100" s="219"/>
    </row>
    <row r="101" spans="1:16" ht="13.15" customHeight="1" x14ac:dyDescent="0.25">
      <c r="A101" s="266" t="s">
        <v>382</v>
      </c>
      <c r="B101" s="267"/>
      <c r="C101" s="268"/>
      <c r="D101" s="198" t="s">
        <v>315</v>
      </c>
      <c r="E101" s="336"/>
      <c r="F101" s="336"/>
      <c r="G101" s="193" t="s">
        <v>316</v>
      </c>
      <c r="H101" s="219" t="str">
        <f>IF(E101="","",IF(E100&gt;E101,"Does not meet sizing criteria",""))</f>
        <v/>
      </c>
    </row>
    <row r="102" spans="1:16" ht="30" customHeight="1" x14ac:dyDescent="0.25">
      <c r="A102" s="266" t="s">
        <v>383</v>
      </c>
      <c r="B102" s="267"/>
      <c r="C102" s="268"/>
      <c r="D102" s="198" t="s">
        <v>384</v>
      </c>
      <c r="E102" s="266" t="str">
        <f>IF(E101="","",(E101*(E97*(E98+E96)*E99))/E96)</f>
        <v/>
      </c>
      <c r="F102" s="268"/>
      <c r="G102" s="193" t="s">
        <v>2</v>
      </c>
      <c r="H102" s="219" t="str">
        <f>IF(E102="","",IF(E101&gt;E102,"Does not meet sizing criteria",""))</f>
        <v/>
      </c>
    </row>
    <row r="103" spans="1:16" ht="13.15" customHeight="1" x14ac:dyDescent="0.25">
      <c r="A103" s="236" t="s">
        <v>276</v>
      </c>
      <c r="B103" s="237"/>
      <c r="C103" s="237"/>
      <c r="D103" s="237"/>
      <c r="E103" s="237"/>
      <c r="F103" s="237"/>
      <c r="G103" s="237"/>
      <c r="H103" s="238"/>
    </row>
    <row r="104" spans="1:16" s="34" customFormat="1" ht="30.25" customHeight="1" x14ac:dyDescent="0.3">
      <c r="A104" s="335" t="s">
        <v>241</v>
      </c>
      <c r="B104" s="335"/>
      <c r="C104" s="9" t="str">
        <f>IF(A82="","",IF(D86="Yes",0,IF(B82="",0,IF(AND(D83="Infiltration Stormwater Planter",D85&lt;0.5),0,IF(D87="Yes",0,IF(D88="Yes",0,IF(AND(D83="Infiltration Stormwater Planter",D89&lt;2),0,IF(AND(D83="Infiltration Stormwater Planter",D90&lt;2),0,IF(D91&lt;3,0,IF(AND(D83="Filtration Stormwater Planter",D92&lt;10),0,IF(AND(D83="Infiltration Stormwater Planter",D92&lt;6),0,IF(E96&lt;1.5,0,IF(E96&gt;2.5,0,IF(E98&gt;0.5,0,IF(E101&lt;E100,0,IF(AND(D83="Filtration Stormwater Planter",E102*0.4&lt;=F82),E102*0.4,IF(AND(D83="Filtration Stormwater Planter",E102*0.4&gt;F82),F82,IF(D83="Infiltration Stormwater Planter",F82*1))))))))))))))))))</f>
        <v/>
      </c>
      <c r="D104" s="310" t="s">
        <v>2</v>
      </c>
      <c r="E104" s="311"/>
      <c r="F104" s="311"/>
      <c r="G104" s="311"/>
      <c r="H104" s="312"/>
      <c r="I104" s="4"/>
      <c r="J104" s="4"/>
      <c r="K104" s="4"/>
      <c r="L104" s="4"/>
      <c r="M104" s="4"/>
      <c r="N104" s="4"/>
      <c r="O104" s="4"/>
      <c r="P104" s="4"/>
    </row>
    <row r="105" spans="1:16" ht="13" x14ac:dyDescent="0.3">
      <c r="A105" s="24" t="s">
        <v>56</v>
      </c>
      <c r="B105" s="23" t="str">
        <f>IF('STEP 2-WQv Calculation'!$B$4="","",'STEP 2-WQv Calculation'!$B$4)</f>
        <v/>
      </c>
      <c r="C105" s="31"/>
      <c r="D105" s="31"/>
      <c r="E105" s="32"/>
      <c r="F105" s="33"/>
      <c r="G105" s="33"/>
      <c r="H105" s="33"/>
    </row>
    <row r="106" spans="1:16" ht="13.15" customHeight="1" x14ac:dyDescent="0.25">
      <c r="A106" s="331" t="s">
        <v>293</v>
      </c>
      <c r="B106" s="332"/>
      <c r="C106" s="332"/>
      <c r="D106" s="332"/>
      <c r="E106" s="332"/>
      <c r="F106" s="332"/>
      <c r="G106" s="332"/>
      <c r="H106" s="333"/>
    </row>
    <row r="107" spans="1:16" ht="38.5" x14ac:dyDescent="0.25">
      <c r="A107" s="204" t="s">
        <v>60</v>
      </c>
      <c r="B107" s="205" t="s">
        <v>61</v>
      </c>
      <c r="C107" s="205" t="s">
        <v>62</v>
      </c>
      <c r="D107" s="205" t="s">
        <v>63</v>
      </c>
      <c r="E107" s="205" t="s">
        <v>64</v>
      </c>
      <c r="F107" s="205" t="s">
        <v>65</v>
      </c>
      <c r="G107" s="205" t="s">
        <v>244</v>
      </c>
      <c r="H107" s="206" t="s">
        <v>13</v>
      </c>
    </row>
    <row r="108" spans="1:16" x14ac:dyDescent="0.25">
      <c r="A108" s="17"/>
      <c r="B108" s="18" t="str">
        <f>IF($A108="","",(LOOKUP($A108,'STEP 2-WQv Calculation'!$A$8:$A$37,'STEP 2-WQv Calculation'!$B$8:$B$37)))</f>
        <v/>
      </c>
      <c r="C108" s="18" t="str">
        <f>IF($A108="","",(LOOKUP($A108,'STEP 2-WQv Calculation'!$A$8:$A$37,'STEP 2-WQv Calculation'!$C$8:$C$37)))</f>
        <v/>
      </c>
      <c r="D108" s="53" t="str">
        <f>IF($A108="","",(LOOKUP($A108,'STEP 2-WQv Calculation'!$A$8:$A$37,'STEP 2-WQv Calculation'!$D$8:$D$37)))</f>
        <v/>
      </c>
      <c r="E108" s="18" t="str">
        <f>IF($A108="","",(LOOKUP($A108,'STEP 2-WQv Calculation'!$A$8:$A$37,'STEP 2-WQv Calculation'!$E$8:$E$37)))</f>
        <v/>
      </c>
      <c r="F108" s="42" t="str">
        <f>IF($A108="","",(LOOKUP($A108,'STEP 2-WQv Calculation'!$A$8:$A$37,'STEP 2-WQv Calculation'!$F$8:$F$37)))</f>
        <v/>
      </c>
      <c r="G108" s="18">
        <f>'STEP 2-WQv Calculation'!B5</f>
        <v>0</v>
      </c>
      <c r="H108" s="29" t="str">
        <f>IF($A108="","",(LOOKUP($A108,'STEP 2-WQv Calculation'!$A$8:$A$37,'STEP 2-WQv Calculation'!$G$8:$G$37)))</f>
        <v/>
      </c>
    </row>
    <row r="109" spans="1:16" ht="13.15" customHeight="1" x14ac:dyDescent="0.25">
      <c r="A109" s="242" t="s">
        <v>386</v>
      </c>
      <c r="B109" s="243"/>
      <c r="C109" s="244"/>
      <c r="D109" s="364" t="s">
        <v>389</v>
      </c>
      <c r="E109" s="365"/>
      <c r="F109" s="365"/>
      <c r="G109" s="365"/>
      <c r="H109" s="366"/>
    </row>
    <row r="110" spans="1:16" ht="13.15" customHeight="1" x14ac:dyDescent="0.3">
      <c r="A110" s="273" t="s">
        <v>226</v>
      </c>
      <c r="B110" s="273"/>
      <c r="C110" s="273"/>
      <c r="D110" s="273"/>
      <c r="E110" s="273"/>
      <c r="F110" s="273"/>
      <c r="G110" s="273"/>
      <c r="H110" s="273"/>
    </row>
    <row r="111" spans="1:16" ht="27.75" customHeight="1" x14ac:dyDescent="0.25">
      <c r="A111" s="242" t="s">
        <v>295</v>
      </c>
      <c r="B111" s="243"/>
      <c r="C111" s="244"/>
      <c r="D111" s="44"/>
      <c r="E111" s="322" t="str">
        <f>IF(D111="","",IF(AND(D109="Filtration Stormwater Planter",D111&lt;0.5),"Underdrain required",IF(AND(D109="Infiltration Stormwater Planter",D111&lt;0.5),"Does not meet design criteria. Design as Filtration Stormwater Planter","")))</f>
        <v/>
      </c>
      <c r="F111" s="323"/>
      <c r="G111" s="323"/>
      <c r="H111" s="324"/>
    </row>
    <row r="112" spans="1:16" s="1" customFormat="1" ht="14.5" x14ac:dyDescent="0.35">
      <c r="A112" s="245" t="s">
        <v>247</v>
      </c>
      <c r="B112" s="245"/>
      <c r="C112" s="245"/>
      <c r="D112" s="211"/>
      <c r="E112" s="322" t="str">
        <f>IF(D112="","This practice cannot be used for hotspot treatment",IF(D112="Yes","Does not meet design criteria",""))</f>
        <v>This practice cannot be used for hotspot treatment</v>
      </c>
      <c r="F112" s="323"/>
      <c r="G112" s="323"/>
      <c r="H112" s="324"/>
      <c r="I112" s="4"/>
    </row>
    <row r="113" spans="1:8" ht="13.15" customHeight="1" x14ac:dyDescent="0.25">
      <c r="A113" s="242" t="s">
        <v>387</v>
      </c>
      <c r="B113" s="243"/>
      <c r="C113" s="244"/>
      <c r="D113" s="227" t="e">
        <f>IF((B108*43560)&gt;15000,"Yes","No")</f>
        <v>#VALUE!</v>
      </c>
      <c r="E113" s="322" t="str">
        <f>IF(F108="","",IF(D113="","",IF(D113="Yes","Does not meet design criteria","")))</f>
        <v/>
      </c>
      <c r="F113" s="323"/>
      <c r="G113" s="323"/>
      <c r="H113" s="324"/>
    </row>
    <row r="114" spans="1:8" ht="25.5" customHeight="1" x14ac:dyDescent="0.25">
      <c r="A114" s="245" t="s">
        <v>377</v>
      </c>
      <c r="B114" s="245"/>
      <c r="C114" s="245"/>
      <c r="D114" s="211"/>
      <c r="E114" s="322" t="str">
        <f>IF(D114="Yes","Does not meet design criteria","")</f>
        <v/>
      </c>
      <c r="F114" s="323"/>
      <c r="G114" s="323"/>
      <c r="H114" s="324"/>
    </row>
    <row r="115" spans="1:8" ht="24.75" customHeight="1" x14ac:dyDescent="0.25">
      <c r="A115" s="242" t="s">
        <v>713</v>
      </c>
      <c r="B115" s="243"/>
      <c r="C115" s="244"/>
      <c r="D115" s="43"/>
      <c r="E115" s="322" t="str">
        <f>IF(D115="","",IF(AND(D109="Infiltration Stormwater Planter",D115&lt;2),"Does not meet design criteria. Design as Filtration Rain Garden",IF(AND(D109="Filtration Stormwater Planter",D115&lt;2),"Impermeable liner required","")))</f>
        <v/>
      </c>
      <c r="F115" s="323"/>
      <c r="G115" s="323"/>
      <c r="H115" s="324"/>
    </row>
    <row r="116" spans="1:8" ht="13.15" customHeight="1" x14ac:dyDescent="0.25">
      <c r="A116" s="242" t="s">
        <v>297</v>
      </c>
      <c r="B116" s="243"/>
      <c r="C116" s="244"/>
      <c r="D116" s="43"/>
      <c r="E116" s="322" t="str">
        <f>IF(D116="","",IF(AND(D109="Infiltration Stormwater Planter",D116&lt;2),"Does not meet design criteria. Design as Filtration Rain Garden",IF(AND(D109="Filtration Stormwater Planter",D116&lt;2),"Impermeable liner required","")))</f>
        <v/>
      </c>
      <c r="F116" s="323"/>
      <c r="G116" s="323"/>
      <c r="H116" s="324"/>
    </row>
    <row r="117" spans="1:8" ht="13.15" customHeight="1" x14ac:dyDescent="0.25">
      <c r="A117" s="242" t="s">
        <v>378</v>
      </c>
      <c r="B117" s="243"/>
      <c r="C117" s="244"/>
      <c r="D117" s="43"/>
      <c r="E117" s="322" t="str">
        <f>IF(D117="","",IF(D117&lt;3,"Does not meet design criteria",""))</f>
        <v/>
      </c>
      <c r="F117" s="323"/>
      <c r="G117" s="323"/>
      <c r="H117" s="324"/>
    </row>
    <row r="118" spans="1:8" ht="13.15" customHeight="1" x14ac:dyDescent="0.25">
      <c r="A118" s="242" t="s">
        <v>300</v>
      </c>
      <c r="B118" s="243"/>
      <c r="C118" s="244"/>
      <c r="D118" s="43"/>
      <c r="E118" s="322" t="str">
        <f>IF(D118="","",IF(AND(D109="Filtration Stormwater Planter",D118&lt;10),"Does not meet design criteria",IF(AND(D109="Infiltration Stormwater Planter",D118&lt;6),"Does not meet design criteria","")))</f>
        <v/>
      </c>
      <c r="F118" s="323"/>
      <c r="G118" s="323"/>
      <c r="H118" s="324"/>
    </row>
    <row r="119" spans="1:8" ht="13.15" customHeight="1" x14ac:dyDescent="0.25">
      <c r="A119" s="236" t="s">
        <v>232</v>
      </c>
      <c r="B119" s="237"/>
      <c r="C119" s="237"/>
      <c r="D119" s="237"/>
      <c r="E119" s="237"/>
      <c r="F119" s="237"/>
      <c r="G119" s="237"/>
      <c r="H119" s="238"/>
    </row>
    <row r="120" spans="1:8" ht="13" x14ac:dyDescent="0.25">
      <c r="A120" s="35"/>
      <c r="B120" s="36"/>
      <c r="C120" s="36"/>
      <c r="D120" s="37"/>
      <c r="E120" s="302" t="s">
        <v>256</v>
      </c>
      <c r="F120" s="302"/>
      <c r="G120" s="38" t="s">
        <v>257</v>
      </c>
      <c r="H120" s="38" t="s">
        <v>258</v>
      </c>
    </row>
    <row r="121" spans="1:8" ht="13.15" customHeight="1" x14ac:dyDescent="0.25">
      <c r="A121" s="289" t="s">
        <v>302</v>
      </c>
      <c r="B121" s="289"/>
      <c r="C121" s="289"/>
      <c r="D121" s="198" t="s">
        <v>303</v>
      </c>
      <c r="E121" s="334" t="str">
        <f>F108</f>
        <v/>
      </c>
      <c r="F121" s="334"/>
      <c r="G121" s="193" t="s">
        <v>2</v>
      </c>
      <c r="H121" s="219"/>
    </row>
    <row r="122" spans="1:8" ht="13.15" customHeight="1" x14ac:dyDescent="0.25">
      <c r="A122" s="289" t="s">
        <v>379</v>
      </c>
      <c r="B122" s="289"/>
      <c r="C122" s="289"/>
      <c r="D122" s="198" t="s">
        <v>305</v>
      </c>
      <c r="E122" s="336"/>
      <c r="F122" s="336"/>
      <c r="G122" s="193" t="s">
        <v>271</v>
      </c>
      <c r="H122" s="219" t="str">
        <f>IF(E122="","",IF(AND(D109="Filtration Stormwater Planter",E122&lt;1.5),"Does not meet design criteria",IF(AND(D109="Filtration Stormwater Planter",E122&gt;2.5),"Does not meet design criteria",IF(AND(D109="Infiltration Stormwater Planter",E122&lt;1.5),"Does not meet design criteria",IF(AND(D109="Infiltration Stormwater Planter",E122&gt;2.5),"Does not meet design criteria","")))))</f>
        <v/>
      </c>
    </row>
    <row r="123" spans="1:8" ht="13.15" customHeight="1" x14ac:dyDescent="0.25">
      <c r="A123" s="266" t="s">
        <v>306</v>
      </c>
      <c r="B123" s="267"/>
      <c r="C123" s="268"/>
      <c r="D123" s="198" t="s">
        <v>307</v>
      </c>
      <c r="E123" s="289">
        <v>1</v>
      </c>
      <c r="F123" s="289"/>
      <c r="G123" s="193" t="s">
        <v>308</v>
      </c>
      <c r="H123" s="219"/>
    </row>
    <row r="124" spans="1:8" ht="13.15" customHeight="1" x14ac:dyDescent="0.25">
      <c r="A124" s="289" t="s">
        <v>309</v>
      </c>
      <c r="B124" s="289"/>
      <c r="C124" s="289"/>
      <c r="D124" s="198" t="s">
        <v>310</v>
      </c>
      <c r="E124" s="336"/>
      <c r="F124" s="336"/>
      <c r="G124" s="193" t="s">
        <v>271</v>
      </c>
      <c r="H124" s="219" t="str">
        <f>IF(E124&gt;0.5,"Does not meet design criteia","")</f>
        <v/>
      </c>
    </row>
    <row r="125" spans="1:8" ht="13.15" customHeight="1" x14ac:dyDescent="0.25">
      <c r="A125" s="289" t="s">
        <v>388</v>
      </c>
      <c r="B125" s="289"/>
      <c r="C125" s="289"/>
      <c r="D125" s="198" t="s">
        <v>312</v>
      </c>
      <c r="E125" s="289">
        <v>2</v>
      </c>
      <c r="F125" s="289"/>
      <c r="G125" s="193" t="s">
        <v>313</v>
      </c>
      <c r="H125" s="219"/>
    </row>
    <row r="126" spans="1:8" ht="13.15" customHeight="1" x14ac:dyDescent="0.25">
      <c r="A126" s="266" t="s">
        <v>381</v>
      </c>
      <c r="B126" s="267"/>
      <c r="C126" s="268"/>
      <c r="D126" s="198" t="s">
        <v>315</v>
      </c>
      <c r="E126" s="308" t="e">
        <f>(E121*E122)/(E123*(E124+E122)*E125)</f>
        <v>#VALUE!</v>
      </c>
      <c r="F126" s="308"/>
      <c r="G126" s="193" t="s">
        <v>316</v>
      </c>
      <c r="H126" s="219"/>
    </row>
    <row r="127" spans="1:8" ht="13.15" customHeight="1" x14ac:dyDescent="0.25">
      <c r="A127" s="266" t="s">
        <v>382</v>
      </c>
      <c r="B127" s="267"/>
      <c r="C127" s="268"/>
      <c r="D127" s="198" t="s">
        <v>315</v>
      </c>
      <c r="E127" s="336"/>
      <c r="F127" s="336"/>
      <c r="G127" s="193" t="s">
        <v>316</v>
      </c>
      <c r="H127" s="219" t="str">
        <f>IF(E127="","",IF(E126&gt;E127,"Does not meet sizing criteria",""))</f>
        <v/>
      </c>
    </row>
    <row r="128" spans="1:8" ht="30" customHeight="1" x14ac:dyDescent="0.25">
      <c r="A128" s="266" t="s">
        <v>383</v>
      </c>
      <c r="B128" s="267"/>
      <c r="C128" s="268"/>
      <c r="D128" s="198" t="s">
        <v>384</v>
      </c>
      <c r="E128" s="266" t="str">
        <f>IF(E127="","",(E127*(E123*(E124+E122)*E125))/E122)</f>
        <v/>
      </c>
      <c r="F128" s="268"/>
      <c r="G128" s="193" t="s">
        <v>2</v>
      </c>
      <c r="H128" s="219" t="str">
        <f>IF(E128="","",IF(E127&gt;E128,"Does not meet sizing criteria",""))</f>
        <v/>
      </c>
    </row>
    <row r="129" spans="1:16" ht="13.15" customHeight="1" x14ac:dyDescent="0.25">
      <c r="A129" s="236" t="s">
        <v>276</v>
      </c>
      <c r="B129" s="237"/>
      <c r="C129" s="237"/>
      <c r="D129" s="237"/>
      <c r="E129" s="237"/>
      <c r="F129" s="237"/>
      <c r="G129" s="237"/>
      <c r="H129" s="238"/>
    </row>
    <row r="130" spans="1:16" s="34" customFormat="1" ht="30.25" customHeight="1" x14ac:dyDescent="0.3">
      <c r="A130" s="335" t="s">
        <v>241</v>
      </c>
      <c r="B130" s="335"/>
      <c r="C130" s="9" t="str">
        <f>IF(A108="","",IF(D112="Yes",0,IF(B108="",0,IF(AND(D109="Infiltration Stormwater Planter",D111&lt;0.5),0,IF(D113="Yes",0,IF(D114="Yes",0,IF(AND(D109="Infiltration Stormwater Planter",D115&lt;2),0,IF(AND(D109="Infiltration Stormwater Planter",D116&lt;2),0,IF(D117&lt;3,0,IF(AND(D109="Filtration Stormwater Planter",D118&lt;10),0,IF(AND(D109="Infiltration Stormwater Planter",D118&lt;6),0,IF(E122&lt;1.5,0,IF(E122&gt;2.5,0,IF(E124&gt;0.5,0,IF(E127&lt;E126,0,IF(AND(D109="Filtration Stormwater Planter",E128*0.4&lt;=F108),E128*0.4,IF(AND(D109="Filtration Stormwater Planter",E128*0.4&gt;F108),F108,IF(D109="Infiltration Stormwater Planter",F108*1))))))))))))))))))</f>
        <v/>
      </c>
      <c r="D130" s="310" t="s">
        <v>2</v>
      </c>
      <c r="E130" s="311"/>
      <c r="F130" s="311"/>
      <c r="G130" s="311"/>
      <c r="H130" s="312"/>
      <c r="I130" s="4"/>
      <c r="J130" s="4"/>
      <c r="K130" s="4"/>
      <c r="L130" s="4"/>
      <c r="M130" s="4"/>
      <c r="N130" s="4"/>
      <c r="O130" s="4"/>
      <c r="P130" s="4"/>
    </row>
    <row r="131" spans="1:16" ht="13" x14ac:dyDescent="0.3">
      <c r="A131" s="24" t="s">
        <v>56</v>
      </c>
      <c r="B131" s="23" t="str">
        <f>IF('STEP 2-WQv Calculation'!$B$4="","",'STEP 2-WQv Calculation'!$B$4)</f>
        <v/>
      </c>
      <c r="C131" s="31"/>
      <c r="D131" s="31"/>
      <c r="E131" s="32"/>
      <c r="F131" s="33"/>
      <c r="G131" s="33"/>
      <c r="H131" s="33"/>
    </row>
    <row r="132" spans="1:16" ht="13" x14ac:dyDescent="0.25">
      <c r="A132" s="331" t="s">
        <v>293</v>
      </c>
      <c r="B132" s="332"/>
      <c r="C132" s="332"/>
      <c r="D132" s="332"/>
      <c r="E132" s="332"/>
      <c r="F132" s="332"/>
      <c r="G132" s="332"/>
      <c r="H132" s="333"/>
    </row>
    <row r="133" spans="1:16" ht="38.5" x14ac:dyDescent="0.25">
      <c r="A133" s="204" t="s">
        <v>60</v>
      </c>
      <c r="B133" s="205" t="s">
        <v>61</v>
      </c>
      <c r="C133" s="205" t="s">
        <v>62</v>
      </c>
      <c r="D133" s="205" t="s">
        <v>63</v>
      </c>
      <c r="E133" s="205" t="s">
        <v>64</v>
      </c>
      <c r="F133" s="205" t="s">
        <v>65</v>
      </c>
      <c r="G133" s="205" t="s">
        <v>244</v>
      </c>
      <c r="H133" s="206" t="s">
        <v>13</v>
      </c>
    </row>
    <row r="134" spans="1:16" x14ac:dyDescent="0.25">
      <c r="A134" s="17"/>
      <c r="B134" s="18" t="str">
        <f>IF($A134="","",(LOOKUP($A134,'STEP 2-WQv Calculation'!$A$8:$A$37,'STEP 2-WQv Calculation'!$B$8:$B$37)))</f>
        <v/>
      </c>
      <c r="C134" s="18" t="str">
        <f>IF($A134="","",(LOOKUP($A134,'STEP 2-WQv Calculation'!$A$8:$A$37,'STEP 2-WQv Calculation'!$C$8:$C$37)))</f>
        <v/>
      </c>
      <c r="D134" s="53" t="str">
        <f>IF($A134="","",(LOOKUP($A134,'STEP 2-WQv Calculation'!$A$8:$A$37,'STEP 2-WQv Calculation'!$D$8:$D$37)))</f>
        <v/>
      </c>
      <c r="E134" s="18" t="str">
        <f>IF($A134="","",(LOOKUP($A134,'STEP 2-WQv Calculation'!$A$8:$A$37,'STEP 2-WQv Calculation'!$E$8:$E$37)))</f>
        <v/>
      </c>
      <c r="F134" s="42" t="str">
        <f>IF($A134="","",(LOOKUP($A134,'STEP 2-WQv Calculation'!$A$8:$A$37,'STEP 2-WQv Calculation'!$F$8:$F$37)))</f>
        <v/>
      </c>
      <c r="G134" s="18">
        <f>'STEP 2-WQv Calculation'!B31</f>
        <v>0</v>
      </c>
      <c r="H134" s="29" t="str">
        <f>IF($A134="","",(LOOKUP($A134,'STEP 2-WQv Calculation'!$A$8:$A$37,'STEP 2-WQv Calculation'!$G$8:$G$37)))</f>
        <v/>
      </c>
    </row>
    <row r="135" spans="1:16" x14ac:dyDescent="0.25">
      <c r="A135" s="242" t="s">
        <v>386</v>
      </c>
      <c r="B135" s="243"/>
      <c r="C135" s="244"/>
      <c r="D135" s="364" t="s">
        <v>389</v>
      </c>
      <c r="E135" s="365"/>
      <c r="F135" s="365"/>
      <c r="G135" s="365"/>
      <c r="H135" s="366"/>
    </row>
    <row r="136" spans="1:16" ht="13" x14ac:dyDescent="0.3">
      <c r="A136" s="273" t="s">
        <v>226</v>
      </c>
      <c r="B136" s="273"/>
      <c r="C136" s="273"/>
      <c r="D136" s="273"/>
      <c r="E136" s="273"/>
      <c r="F136" s="273"/>
      <c r="G136" s="273"/>
      <c r="H136" s="273"/>
    </row>
    <row r="137" spans="1:16" x14ac:dyDescent="0.25">
      <c r="A137" s="242" t="s">
        <v>295</v>
      </c>
      <c r="B137" s="243"/>
      <c r="C137" s="244"/>
      <c r="D137" s="44"/>
      <c r="E137" s="322" t="str">
        <f>IF(D137="","",IF(AND(D135="Filtration Stormwater Planter",D137&lt;0.5),"Underdrain required",IF(AND(D135="Infiltration Stormwater Planter",D137&lt;0.5),"Does not meet design criteria. Design as Filtration Stormwater Planter","")))</f>
        <v/>
      </c>
      <c r="F137" s="323"/>
      <c r="G137" s="323"/>
      <c r="H137" s="324"/>
    </row>
    <row r="138" spans="1:16" x14ac:dyDescent="0.25">
      <c r="A138" s="245" t="s">
        <v>247</v>
      </c>
      <c r="B138" s="245"/>
      <c r="C138" s="245"/>
      <c r="D138" s="211"/>
      <c r="E138" s="322" t="str">
        <f>IF(D138="","This practice cannot be used for hotspot treatment",IF(D138="Yes","Does not meet design criteria",""))</f>
        <v>This practice cannot be used for hotspot treatment</v>
      </c>
      <c r="F138" s="323"/>
      <c r="G138" s="323"/>
      <c r="H138" s="324"/>
    </row>
    <row r="139" spans="1:16" x14ac:dyDescent="0.25">
      <c r="A139" s="242" t="s">
        <v>387</v>
      </c>
      <c r="B139" s="243"/>
      <c r="C139" s="244"/>
      <c r="D139" s="227" t="e">
        <f>IF((B134*43560)&gt;15000,"Yes","No")</f>
        <v>#VALUE!</v>
      </c>
      <c r="E139" s="322" t="str">
        <f>IF(F134="","",IF(D139="","",IF(D139="Yes","Does not meet design criteria","")))</f>
        <v/>
      </c>
      <c r="F139" s="323"/>
      <c r="G139" s="323"/>
      <c r="H139" s="324"/>
    </row>
    <row r="140" spans="1:16" x14ac:dyDescent="0.25">
      <c r="A140" s="245" t="s">
        <v>377</v>
      </c>
      <c r="B140" s="245"/>
      <c r="C140" s="245"/>
      <c r="D140" s="211"/>
      <c r="E140" s="322" t="str">
        <f>IF(D140="Yes","Does not meet design criteria","")</f>
        <v/>
      </c>
      <c r="F140" s="323"/>
      <c r="G140" s="323"/>
      <c r="H140" s="324"/>
    </row>
    <row r="141" spans="1:16" x14ac:dyDescent="0.25">
      <c r="A141" s="242" t="s">
        <v>713</v>
      </c>
      <c r="B141" s="243"/>
      <c r="C141" s="244"/>
      <c r="D141" s="43"/>
      <c r="E141" s="322" t="str">
        <f>IF(D141="","",IF(AND(D135="Infiltration Stormwater Planter",D141&lt;2),"Does not meet design criteria. Design as Filtration Rain Garden",IF(AND(D135="Filtration Stormwater Planter",D141&lt;2),"Impermeable liner required","")))</f>
        <v/>
      </c>
      <c r="F141" s="323"/>
      <c r="G141" s="323"/>
      <c r="H141" s="324"/>
    </row>
    <row r="142" spans="1:16" x14ac:dyDescent="0.25">
      <c r="A142" s="242" t="s">
        <v>297</v>
      </c>
      <c r="B142" s="243"/>
      <c r="C142" s="244"/>
      <c r="D142" s="43"/>
      <c r="E142" s="322" t="str">
        <f>IF(D142="","",IF(AND(D135="Infiltration Stormwater Planter",D142&lt;2),"Does not meet design criteria. Design as Filtration Rain Garden",IF(AND(D135="Filtration Stormwater Planter",D142&lt;2),"Impermeable liner required","")))</f>
        <v/>
      </c>
      <c r="F142" s="323"/>
      <c r="G142" s="323"/>
      <c r="H142" s="324"/>
    </row>
    <row r="143" spans="1:16" x14ac:dyDescent="0.25">
      <c r="A143" s="242" t="s">
        <v>378</v>
      </c>
      <c r="B143" s="243"/>
      <c r="C143" s="244"/>
      <c r="D143" s="43"/>
      <c r="E143" s="322" t="str">
        <f>IF(D143="","",IF(D143&lt;3,"Does not meet design criteria",""))</f>
        <v/>
      </c>
      <c r="F143" s="323"/>
      <c r="G143" s="323"/>
      <c r="H143" s="324"/>
    </row>
    <row r="144" spans="1:16" x14ac:dyDescent="0.25">
      <c r="A144" s="242" t="s">
        <v>300</v>
      </c>
      <c r="B144" s="243"/>
      <c r="C144" s="244"/>
      <c r="D144" s="43"/>
      <c r="E144" s="322" t="str">
        <f>IF(D144="","",IF(AND(D135="Filtration Stormwater Planter",D144&lt;10),"Does not meet design criteria",IF(AND(D135="Infiltration Stormwater Planter",D144&lt;6),"Does not meet design criteria","")))</f>
        <v/>
      </c>
      <c r="F144" s="323"/>
      <c r="G144" s="323"/>
      <c r="H144" s="324"/>
    </row>
    <row r="145" spans="1:8" ht="13" x14ac:dyDescent="0.25">
      <c r="A145" s="236" t="s">
        <v>232</v>
      </c>
      <c r="B145" s="237"/>
      <c r="C145" s="237"/>
      <c r="D145" s="237"/>
      <c r="E145" s="237"/>
      <c r="F145" s="237"/>
      <c r="G145" s="237"/>
      <c r="H145" s="238"/>
    </row>
    <row r="146" spans="1:8" ht="13" x14ac:dyDescent="0.25">
      <c r="A146" s="35"/>
      <c r="B146" s="36"/>
      <c r="C146" s="36"/>
      <c r="D146" s="37"/>
      <c r="E146" s="302" t="s">
        <v>256</v>
      </c>
      <c r="F146" s="302"/>
      <c r="G146" s="38" t="s">
        <v>257</v>
      </c>
      <c r="H146" s="38" t="s">
        <v>258</v>
      </c>
    </row>
    <row r="147" spans="1:8" x14ac:dyDescent="0.25">
      <c r="A147" s="289" t="s">
        <v>302</v>
      </c>
      <c r="B147" s="289"/>
      <c r="C147" s="289"/>
      <c r="D147" s="198" t="s">
        <v>303</v>
      </c>
      <c r="E147" s="334" t="str">
        <f>F134</f>
        <v/>
      </c>
      <c r="F147" s="334"/>
      <c r="G147" s="193" t="s">
        <v>2</v>
      </c>
      <c r="H147" s="219"/>
    </row>
    <row r="148" spans="1:8" x14ac:dyDescent="0.25">
      <c r="A148" s="289" t="s">
        <v>379</v>
      </c>
      <c r="B148" s="289"/>
      <c r="C148" s="289"/>
      <c r="D148" s="198" t="s">
        <v>305</v>
      </c>
      <c r="E148" s="336"/>
      <c r="F148" s="336"/>
      <c r="G148" s="193" t="s">
        <v>271</v>
      </c>
      <c r="H148" s="219" t="str">
        <f>IF(E148="","",IF(AND(D135="Filtration Stormwater Planter",E148&lt;1.5),"Does not meet design criteria",IF(AND(D135="Filtration Stormwater Planter",E148&gt;2.5),"Does not meet design criteria",IF(AND(D135="Infiltration Stormwater Planter",E148&lt;1.5),"Does not meet design criteria",IF(AND(D135="Infiltration Stormwater Planter",E148&gt;2.5),"Does not meet design criteria","")))))</f>
        <v/>
      </c>
    </row>
    <row r="149" spans="1:8" x14ac:dyDescent="0.25">
      <c r="A149" s="266" t="s">
        <v>306</v>
      </c>
      <c r="B149" s="267"/>
      <c r="C149" s="268"/>
      <c r="D149" s="198" t="s">
        <v>307</v>
      </c>
      <c r="E149" s="289">
        <v>1</v>
      </c>
      <c r="F149" s="289"/>
      <c r="G149" s="193" t="s">
        <v>308</v>
      </c>
      <c r="H149" s="219"/>
    </row>
    <row r="150" spans="1:8" x14ac:dyDescent="0.25">
      <c r="A150" s="289" t="s">
        <v>309</v>
      </c>
      <c r="B150" s="289"/>
      <c r="C150" s="289"/>
      <c r="D150" s="198" t="s">
        <v>310</v>
      </c>
      <c r="E150" s="336"/>
      <c r="F150" s="336"/>
      <c r="G150" s="193" t="s">
        <v>271</v>
      </c>
      <c r="H150" s="219" t="str">
        <f>IF(E150&gt;0.5,"Does not meet design criteia","")</f>
        <v/>
      </c>
    </row>
    <row r="151" spans="1:8" x14ac:dyDescent="0.25">
      <c r="A151" s="289" t="s">
        <v>388</v>
      </c>
      <c r="B151" s="289"/>
      <c r="C151" s="289"/>
      <c r="D151" s="198" t="s">
        <v>312</v>
      </c>
      <c r="E151" s="289">
        <v>2</v>
      </c>
      <c r="F151" s="289"/>
      <c r="G151" s="193" t="s">
        <v>313</v>
      </c>
      <c r="H151" s="219"/>
    </row>
    <row r="152" spans="1:8" x14ac:dyDescent="0.25">
      <c r="A152" s="266" t="s">
        <v>381</v>
      </c>
      <c r="B152" s="267"/>
      <c r="C152" s="268"/>
      <c r="D152" s="198" t="s">
        <v>315</v>
      </c>
      <c r="E152" s="308" t="e">
        <f>(E147*E148)/(E149*(E150+E148)*E151)</f>
        <v>#VALUE!</v>
      </c>
      <c r="F152" s="308"/>
      <c r="G152" s="193" t="s">
        <v>316</v>
      </c>
      <c r="H152" s="219"/>
    </row>
    <row r="153" spans="1:8" x14ac:dyDescent="0.25">
      <c r="A153" s="266" t="s">
        <v>382</v>
      </c>
      <c r="B153" s="267"/>
      <c r="C153" s="268"/>
      <c r="D153" s="198" t="s">
        <v>315</v>
      </c>
      <c r="E153" s="336"/>
      <c r="F153" s="336"/>
      <c r="G153" s="193" t="s">
        <v>316</v>
      </c>
      <c r="H153" s="219" t="str">
        <f>IF(E153="","",IF(E152&gt;E153,"Does not meet sizing criteria",""))</f>
        <v/>
      </c>
    </row>
    <row r="154" spans="1:8" x14ac:dyDescent="0.25">
      <c r="A154" s="266" t="s">
        <v>383</v>
      </c>
      <c r="B154" s="267"/>
      <c r="C154" s="268"/>
      <c r="D154" s="198" t="s">
        <v>384</v>
      </c>
      <c r="E154" s="266" t="str">
        <f>IF(E153="","",(E153*(E149*(E150+E148)*E151))/E148)</f>
        <v/>
      </c>
      <c r="F154" s="268"/>
      <c r="G154" s="193" t="s">
        <v>2</v>
      </c>
      <c r="H154" s="219" t="str">
        <f>IF(E154="","",IF(E153&gt;E154,"Does not meet sizing criteria",""))</f>
        <v/>
      </c>
    </row>
    <row r="155" spans="1:8" ht="13" x14ac:dyDescent="0.25">
      <c r="A155" s="236" t="s">
        <v>276</v>
      </c>
      <c r="B155" s="237"/>
      <c r="C155" s="237"/>
      <c r="D155" s="237"/>
      <c r="E155" s="237"/>
      <c r="F155" s="237"/>
      <c r="G155" s="237"/>
      <c r="H155" s="238"/>
    </row>
    <row r="156" spans="1:8" ht="13" x14ac:dyDescent="0.25">
      <c r="A156" s="335" t="s">
        <v>241</v>
      </c>
      <c r="B156" s="335"/>
      <c r="C156" s="9" t="str">
        <f>IF(A134="","",IF(D138="Yes",0,IF(B134="",0,IF(AND(D135="Infiltration Stormwater Planter",D137&lt;0.5),0,IF(D139="Yes",0,IF(D140="Yes",0,IF(AND(D135="Infiltration Stormwater Planter",D141&lt;2),0,IF(AND(D135="Infiltration Stormwater Planter",D142&lt;2),0,IF(D143&lt;3,0,IF(AND(D135="Filtration Stormwater Planter",D144&lt;10),0,IF(AND(D135="Infiltration Stormwater Planter",D144&lt;6),0,IF(E148&lt;1.5,0,IF(E148&gt;2.5,0,IF(E150&gt;0.5,0,IF(E153&lt;E152,0,IF(AND(D135="Filtration Stormwater Planter",E154*0.4&lt;=F134),E154*0.4,IF(AND(D135="Filtration Stormwater Planter",E154*0.4&gt;F134),F134,IF(D135="Infiltration Stormwater Planter",F134*1))))))))))))))))))</f>
        <v/>
      </c>
      <c r="D156" s="310" t="s">
        <v>2</v>
      </c>
      <c r="E156" s="311"/>
      <c r="F156" s="311"/>
      <c r="G156" s="311"/>
      <c r="H156" s="312"/>
    </row>
    <row r="157" spans="1:8" ht="13" x14ac:dyDescent="0.3">
      <c r="A157" s="24" t="s">
        <v>56</v>
      </c>
      <c r="B157" s="23" t="str">
        <f>IF('STEP 2-WQv Calculation'!$B$4="","",'STEP 2-WQv Calculation'!$B$4)</f>
        <v/>
      </c>
      <c r="C157" s="31"/>
      <c r="D157" s="31"/>
      <c r="E157" s="32"/>
      <c r="F157" s="33"/>
      <c r="G157" s="33"/>
      <c r="H157" s="33"/>
    </row>
    <row r="158" spans="1:8" ht="13" x14ac:dyDescent="0.25">
      <c r="A158" s="331" t="s">
        <v>293</v>
      </c>
      <c r="B158" s="332"/>
      <c r="C158" s="332"/>
      <c r="D158" s="332"/>
      <c r="E158" s="332"/>
      <c r="F158" s="332"/>
      <c r="G158" s="332"/>
      <c r="H158" s="333"/>
    </row>
    <row r="159" spans="1:8" ht="38.5" x14ac:dyDescent="0.25">
      <c r="A159" s="204" t="s">
        <v>60</v>
      </c>
      <c r="B159" s="205" t="s">
        <v>61</v>
      </c>
      <c r="C159" s="205" t="s">
        <v>62</v>
      </c>
      <c r="D159" s="205" t="s">
        <v>63</v>
      </c>
      <c r="E159" s="205" t="s">
        <v>64</v>
      </c>
      <c r="F159" s="205" t="s">
        <v>65</v>
      </c>
      <c r="G159" s="205" t="s">
        <v>244</v>
      </c>
      <c r="H159" s="206" t="s">
        <v>13</v>
      </c>
    </row>
    <row r="160" spans="1:8" x14ac:dyDescent="0.25">
      <c r="A160" s="17"/>
      <c r="B160" s="18" t="str">
        <f>IF($A160="","",(LOOKUP($A160,'STEP 2-WQv Calculation'!$A$8:$A$37,'STEP 2-WQv Calculation'!$B$8:$B$37)))</f>
        <v/>
      </c>
      <c r="C160" s="18" t="str">
        <f>IF($A160="","",(LOOKUP($A160,'STEP 2-WQv Calculation'!$A$8:$A$37,'STEP 2-WQv Calculation'!$C$8:$C$37)))</f>
        <v/>
      </c>
      <c r="D160" s="53" t="str">
        <f>IF($A160="","",(LOOKUP($A160,'STEP 2-WQv Calculation'!$A$8:$A$37,'STEP 2-WQv Calculation'!$D$8:$D$37)))</f>
        <v/>
      </c>
      <c r="E160" s="18" t="str">
        <f>IF($A160="","",(LOOKUP($A160,'STEP 2-WQv Calculation'!$A$8:$A$37,'STEP 2-WQv Calculation'!$E$8:$E$37)))</f>
        <v/>
      </c>
      <c r="F160" s="42" t="str">
        <f>IF($A160="","",(LOOKUP($A160,'STEP 2-WQv Calculation'!$A$8:$A$37,'STEP 2-WQv Calculation'!$F$8:$F$37)))</f>
        <v/>
      </c>
      <c r="G160" s="18">
        <f>'STEP 2-WQv Calculation'!B57</f>
        <v>0</v>
      </c>
      <c r="H160" s="29" t="str">
        <f>IF($A160="","",(LOOKUP($A160,'STEP 2-WQv Calculation'!$A$8:$A$37,'STEP 2-WQv Calculation'!$G$8:$G$37)))</f>
        <v/>
      </c>
    </row>
    <row r="161" spans="1:8" x14ac:dyDescent="0.25">
      <c r="A161" s="242" t="s">
        <v>386</v>
      </c>
      <c r="B161" s="243"/>
      <c r="C161" s="244"/>
      <c r="D161" s="364" t="s">
        <v>389</v>
      </c>
      <c r="E161" s="365"/>
      <c r="F161" s="365"/>
      <c r="G161" s="365"/>
      <c r="H161" s="366"/>
    </row>
    <row r="162" spans="1:8" ht="13" x14ac:dyDescent="0.3">
      <c r="A162" s="273" t="s">
        <v>226</v>
      </c>
      <c r="B162" s="273"/>
      <c r="C162" s="273"/>
      <c r="D162" s="273"/>
      <c r="E162" s="273"/>
      <c r="F162" s="273"/>
      <c r="G162" s="273"/>
      <c r="H162" s="273"/>
    </row>
    <row r="163" spans="1:8" x14ac:dyDescent="0.25">
      <c r="A163" s="242" t="s">
        <v>295</v>
      </c>
      <c r="B163" s="243"/>
      <c r="C163" s="244"/>
      <c r="D163" s="44"/>
      <c r="E163" s="322" t="str">
        <f>IF(D163="","",IF(AND(D161="Filtration Stormwater Planter",D163&lt;0.5),"Underdrain required",IF(AND(D161="Infiltration Stormwater Planter",D163&lt;0.5),"Does not meet design criteria. Design as Filtration Stormwater Planter","")))</f>
        <v/>
      </c>
      <c r="F163" s="323"/>
      <c r="G163" s="323"/>
      <c r="H163" s="324"/>
    </row>
    <row r="164" spans="1:8" x14ac:dyDescent="0.25">
      <c r="A164" s="245" t="s">
        <v>247</v>
      </c>
      <c r="B164" s="245"/>
      <c r="C164" s="245"/>
      <c r="D164" s="211"/>
      <c r="E164" s="322" t="str">
        <f>IF(D164="","This practice cannot be used for hotspot treatment",IF(D164="Yes","Does not meet design criteria",""))</f>
        <v>This practice cannot be used for hotspot treatment</v>
      </c>
      <c r="F164" s="323"/>
      <c r="G164" s="323"/>
      <c r="H164" s="324"/>
    </row>
    <row r="165" spans="1:8" x14ac:dyDescent="0.25">
      <c r="A165" s="242" t="s">
        <v>387</v>
      </c>
      <c r="B165" s="243"/>
      <c r="C165" s="244"/>
      <c r="D165" s="227" t="e">
        <f>IF((B160*43560)&gt;15000,"Yes","No")</f>
        <v>#VALUE!</v>
      </c>
      <c r="E165" s="322" t="str">
        <f>IF(F160="","",IF(D165="","",IF(D165="Yes","Does not meet design criteria","")))</f>
        <v/>
      </c>
      <c r="F165" s="323"/>
      <c r="G165" s="323"/>
      <c r="H165" s="324"/>
    </row>
    <row r="166" spans="1:8" x14ac:dyDescent="0.25">
      <c r="A166" s="245" t="s">
        <v>377</v>
      </c>
      <c r="B166" s="245"/>
      <c r="C166" s="245"/>
      <c r="D166" s="211"/>
      <c r="E166" s="322" t="str">
        <f>IF(D166="Yes","Does not meet design criteria","")</f>
        <v/>
      </c>
      <c r="F166" s="323"/>
      <c r="G166" s="323"/>
      <c r="H166" s="324"/>
    </row>
    <row r="167" spans="1:8" x14ac:dyDescent="0.25">
      <c r="A167" s="242" t="s">
        <v>713</v>
      </c>
      <c r="B167" s="243"/>
      <c r="C167" s="244"/>
      <c r="D167" s="43"/>
      <c r="E167" s="322" t="str">
        <f>IF(D167="","",IF(AND(D161="Infiltration Stormwater Planter",D167&lt;2),"Does not meet design criteria. Design as Filtration Rain Garden",IF(AND(D161="Filtration Stormwater Planter",D167&lt;2),"Impermeable liner required","")))</f>
        <v/>
      </c>
      <c r="F167" s="323"/>
      <c r="G167" s="323"/>
      <c r="H167" s="324"/>
    </row>
    <row r="168" spans="1:8" x14ac:dyDescent="0.25">
      <c r="A168" s="242" t="s">
        <v>297</v>
      </c>
      <c r="B168" s="243"/>
      <c r="C168" s="244"/>
      <c r="D168" s="43"/>
      <c r="E168" s="322" t="str">
        <f>IF(D168="","",IF(AND(D161="Infiltration Stormwater Planter",D168&lt;2),"Does not meet design criteria. Design as Filtration Rain Garden",IF(AND(D161="Filtration Stormwater Planter",D168&lt;2),"Impermeable liner required","")))</f>
        <v/>
      </c>
      <c r="F168" s="323"/>
      <c r="G168" s="323"/>
      <c r="H168" s="324"/>
    </row>
    <row r="169" spans="1:8" x14ac:dyDescent="0.25">
      <c r="A169" s="242" t="s">
        <v>378</v>
      </c>
      <c r="B169" s="243"/>
      <c r="C169" s="244"/>
      <c r="D169" s="43"/>
      <c r="E169" s="322" t="str">
        <f>IF(D169="","",IF(D169&lt;3,"Does not meet design criteria",""))</f>
        <v/>
      </c>
      <c r="F169" s="323"/>
      <c r="G169" s="323"/>
      <c r="H169" s="324"/>
    </row>
    <row r="170" spans="1:8" x14ac:dyDescent="0.25">
      <c r="A170" s="242" t="s">
        <v>300</v>
      </c>
      <c r="B170" s="243"/>
      <c r="C170" s="244"/>
      <c r="D170" s="43"/>
      <c r="E170" s="322" t="str">
        <f>IF(D170="","",IF(AND(D161="Filtration Stormwater Planter",D170&lt;10),"Does not meet design criteria",IF(AND(D161="Infiltration Stormwater Planter",D170&lt;6),"Does not meet design criteria","")))</f>
        <v/>
      </c>
      <c r="F170" s="323"/>
      <c r="G170" s="323"/>
      <c r="H170" s="324"/>
    </row>
    <row r="171" spans="1:8" ht="13" x14ac:dyDescent="0.25">
      <c r="A171" s="236" t="s">
        <v>232</v>
      </c>
      <c r="B171" s="237"/>
      <c r="C171" s="237"/>
      <c r="D171" s="237"/>
      <c r="E171" s="237"/>
      <c r="F171" s="237"/>
      <c r="G171" s="237"/>
      <c r="H171" s="238"/>
    </row>
    <row r="172" spans="1:8" ht="13" x14ac:dyDescent="0.25">
      <c r="A172" s="35"/>
      <c r="B172" s="36"/>
      <c r="C172" s="36"/>
      <c r="D172" s="37"/>
      <c r="E172" s="302" t="s">
        <v>256</v>
      </c>
      <c r="F172" s="302"/>
      <c r="G172" s="38" t="s">
        <v>257</v>
      </c>
      <c r="H172" s="38" t="s">
        <v>258</v>
      </c>
    </row>
    <row r="173" spans="1:8" x14ac:dyDescent="0.25">
      <c r="A173" s="289" t="s">
        <v>302</v>
      </c>
      <c r="B173" s="289"/>
      <c r="C173" s="289"/>
      <c r="D173" s="198" t="s">
        <v>303</v>
      </c>
      <c r="E173" s="334" t="str">
        <f>F160</f>
        <v/>
      </c>
      <c r="F173" s="334"/>
      <c r="G173" s="193" t="s">
        <v>2</v>
      </c>
      <c r="H173" s="219"/>
    </row>
    <row r="174" spans="1:8" x14ac:dyDescent="0.25">
      <c r="A174" s="289" t="s">
        <v>379</v>
      </c>
      <c r="B174" s="289"/>
      <c r="C174" s="289"/>
      <c r="D174" s="198" t="s">
        <v>305</v>
      </c>
      <c r="E174" s="336"/>
      <c r="F174" s="336"/>
      <c r="G174" s="193" t="s">
        <v>271</v>
      </c>
      <c r="H174" s="219" t="str">
        <f>IF(E174="","",IF(AND(D161="Filtration Stormwater Planter",E174&lt;1.5),"Does not meet design criteria",IF(AND(D161="Filtration Stormwater Planter",E174&gt;2.5),"Does not meet design criteria",IF(AND(D161="Infiltration Stormwater Planter",E174&lt;1.5),"Does not meet design criteria",IF(AND(D161="Infiltration Stormwater Planter",E174&gt;2.5),"Does not meet design criteria","")))))</f>
        <v/>
      </c>
    </row>
    <row r="175" spans="1:8" x14ac:dyDescent="0.25">
      <c r="A175" s="266" t="s">
        <v>306</v>
      </c>
      <c r="B175" s="267"/>
      <c r="C175" s="268"/>
      <c r="D175" s="198" t="s">
        <v>307</v>
      </c>
      <c r="E175" s="289">
        <v>1</v>
      </c>
      <c r="F175" s="289"/>
      <c r="G175" s="193" t="s">
        <v>308</v>
      </c>
      <c r="H175" s="219"/>
    </row>
    <row r="176" spans="1:8" x14ac:dyDescent="0.25">
      <c r="A176" s="289" t="s">
        <v>309</v>
      </c>
      <c r="B176" s="289"/>
      <c r="C176" s="289"/>
      <c r="D176" s="198" t="s">
        <v>310</v>
      </c>
      <c r="E176" s="336"/>
      <c r="F176" s="336"/>
      <c r="G176" s="193" t="s">
        <v>271</v>
      </c>
      <c r="H176" s="219" t="str">
        <f>IF(E176&gt;0.5,"Does not meet design criteia","")</f>
        <v/>
      </c>
    </row>
    <row r="177" spans="1:8" x14ac:dyDescent="0.25">
      <c r="A177" s="289" t="s">
        <v>388</v>
      </c>
      <c r="B177" s="289"/>
      <c r="C177" s="289"/>
      <c r="D177" s="198" t="s">
        <v>312</v>
      </c>
      <c r="E177" s="289">
        <v>2</v>
      </c>
      <c r="F177" s="289"/>
      <c r="G177" s="193" t="s">
        <v>313</v>
      </c>
      <c r="H177" s="219"/>
    </row>
    <row r="178" spans="1:8" x14ac:dyDescent="0.25">
      <c r="A178" s="266" t="s">
        <v>381</v>
      </c>
      <c r="B178" s="267"/>
      <c r="C178" s="268"/>
      <c r="D178" s="198" t="s">
        <v>315</v>
      </c>
      <c r="E178" s="308" t="e">
        <f>(E173*E174)/(E175*(E176+E174)*E177)</f>
        <v>#VALUE!</v>
      </c>
      <c r="F178" s="308"/>
      <c r="G178" s="193" t="s">
        <v>316</v>
      </c>
      <c r="H178" s="219"/>
    </row>
    <row r="179" spans="1:8" x14ac:dyDescent="0.25">
      <c r="A179" s="266" t="s">
        <v>382</v>
      </c>
      <c r="B179" s="267"/>
      <c r="C179" s="268"/>
      <c r="D179" s="198" t="s">
        <v>315</v>
      </c>
      <c r="E179" s="336"/>
      <c r="F179" s="336"/>
      <c r="G179" s="193" t="s">
        <v>316</v>
      </c>
      <c r="H179" s="219" t="str">
        <f>IF(E179="","",IF(E178&gt;E179,"Does not meet sizing criteria",""))</f>
        <v/>
      </c>
    </row>
    <row r="180" spans="1:8" x14ac:dyDescent="0.25">
      <c r="A180" s="266" t="s">
        <v>383</v>
      </c>
      <c r="B180" s="267"/>
      <c r="C180" s="268"/>
      <c r="D180" s="198" t="s">
        <v>384</v>
      </c>
      <c r="E180" s="266" t="str">
        <f>IF(E179="","",(E179*(E175*(E176+E174)*E177))/E174)</f>
        <v/>
      </c>
      <c r="F180" s="268"/>
      <c r="G180" s="193" t="s">
        <v>2</v>
      </c>
      <c r="H180" s="219" t="str">
        <f>IF(E180="","",IF(E179&gt;E180,"Does not meet sizing criteria",""))</f>
        <v/>
      </c>
    </row>
    <row r="181" spans="1:8" ht="13" x14ac:dyDescent="0.25">
      <c r="A181" s="236" t="s">
        <v>276</v>
      </c>
      <c r="B181" s="237"/>
      <c r="C181" s="237"/>
      <c r="D181" s="237"/>
      <c r="E181" s="237"/>
      <c r="F181" s="237"/>
      <c r="G181" s="237"/>
      <c r="H181" s="238"/>
    </row>
    <row r="182" spans="1:8" ht="13" x14ac:dyDescent="0.25">
      <c r="A182" s="335" t="s">
        <v>241</v>
      </c>
      <c r="B182" s="335"/>
      <c r="C182" s="9" t="str">
        <f>IF(A160="","",IF(D164="Yes",0,IF(B160="",0,IF(AND(D161="Infiltration Stormwater Planter",D163&lt;0.5),0,IF(D165="Yes",0,IF(D166="Yes",0,IF(AND(D161="Infiltration Stormwater Planter",D167&lt;2),0,IF(AND(D161="Infiltration Stormwater Planter",D168&lt;2),0,IF(D169&lt;3,0,IF(AND(D161="Filtration Stormwater Planter",D170&lt;10),0,IF(AND(D161="Infiltration Stormwater Planter",D170&lt;6),0,IF(E174&lt;1.5,0,IF(E174&gt;2.5,0,IF(E176&gt;0.5,0,IF(E179&lt;E178,0,IF(AND(D161="Filtration Stormwater Planter",E180*0.4&lt;=F160),E180*0.4,IF(AND(D161="Filtration Stormwater Planter",E180*0.4&gt;F160),F160,IF(D161="Infiltration Stormwater Planter",F160*1))))))))))))))))))</f>
        <v/>
      </c>
      <c r="D182" s="310" t="s">
        <v>2</v>
      </c>
      <c r="E182" s="311"/>
      <c r="F182" s="311"/>
      <c r="G182" s="311"/>
      <c r="H182" s="312"/>
    </row>
    <row r="183" spans="1:8" ht="13" x14ac:dyDescent="0.3">
      <c r="A183" s="24" t="s">
        <v>56</v>
      </c>
      <c r="B183" s="23" t="str">
        <f>IF('STEP 2-WQv Calculation'!$B$4="","",'STEP 2-WQv Calculation'!$B$4)</f>
        <v/>
      </c>
      <c r="C183" s="31"/>
      <c r="D183" s="31"/>
      <c r="E183" s="32"/>
      <c r="F183" s="33"/>
      <c r="G183" s="33"/>
      <c r="H183" s="33"/>
    </row>
    <row r="184" spans="1:8" ht="13" x14ac:dyDescent="0.25">
      <c r="A184" s="331" t="s">
        <v>293</v>
      </c>
      <c r="B184" s="332"/>
      <c r="C184" s="332"/>
      <c r="D184" s="332"/>
      <c r="E184" s="332"/>
      <c r="F184" s="332"/>
      <c r="G184" s="332"/>
      <c r="H184" s="333"/>
    </row>
    <row r="185" spans="1:8" ht="38.5" x14ac:dyDescent="0.25">
      <c r="A185" s="204" t="s">
        <v>60</v>
      </c>
      <c r="B185" s="205" t="s">
        <v>61</v>
      </c>
      <c r="C185" s="205" t="s">
        <v>62</v>
      </c>
      <c r="D185" s="205" t="s">
        <v>63</v>
      </c>
      <c r="E185" s="205" t="s">
        <v>64</v>
      </c>
      <c r="F185" s="205" t="s">
        <v>65</v>
      </c>
      <c r="G185" s="205" t="s">
        <v>244</v>
      </c>
      <c r="H185" s="206" t="s">
        <v>13</v>
      </c>
    </row>
    <row r="186" spans="1:8" x14ac:dyDescent="0.25">
      <c r="A186" s="17"/>
      <c r="B186" s="18" t="str">
        <f>IF($A186="","",(LOOKUP($A186,'STEP 2-WQv Calculation'!$A$8:$A$37,'STEP 2-WQv Calculation'!$B$8:$B$37)))</f>
        <v/>
      </c>
      <c r="C186" s="18" t="str">
        <f>IF($A186="","",(LOOKUP($A186,'STEP 2-WQv Calculation'!$A$8:$A$37,'STEP 2-WQv Calculation'!$C$8:$C$37)))</f>
        <v/>
      </c>
      <c r="D186" s="53" t="str">
        <f>IF($A186="","",(LOOKUP($A186,'STEP 2-WQv Calculation'!$A$8:$A$37,'STEP 2-WQv Calculation'!$D$8:$D$37)))</f>
        <v/>
      </c>
      <c r="E186" s="18" t="str">
        <f>IF($A186="","",(LOOKUP($A186,'STEP 2-WQv Calculation'!$A$8:$A$37,'STEP 2-WQv Calculation'!$E$8:$E$37)))</f>
        <v/>
      </c>
      <c r="F186" s="42" t="str">
        <f>IF($A186="","",(LOOKUP($A186,'STEP 2-WQv Calculation'!$A$8:$A$37,'STEP 2-WQv Calculation'!$F$8:$F$37)))</f>
        <v/>
      </c>
      <c r="G186" s="18">
        <f>'STEP 2-WQv Calculation'!B83</f>
        <v>0</v>
      </c>
      <c r="H186" s="29" t="str">
        <f>IF($A186="","",(LOOKUP($A186,'STEP 2-WQv Calculation'!$A$8:$A$37,'STEP 2-WQv Calculation'!$G$8:$G$37)))</f>
        <v/>
      </c>
    </row>
    <row r="187" spans="1:8" x14ac:dyDescent="0.25">
      <c r="A187" s="242" t="s">
        <v>386</v>
      </c>
      <c r="B187" s="243"/>
      <c r="C187" s="244"/>
      <c r="D187" s="364" t="s">
        <v>389</v>
      </c>
      <c r="E187" s="365"/>
      <c r="F187" s="365"/>
      <c r="G187" s="365"/>
      <c r="H187" s="366"/>
    </row>
    <row r="188" spans="1:8" ht="13" x14ac:dyDescent="0.3">
      <c r="A188" s="273" t="s">
        <v>226</v>
      </c>
      <c r="B188" s="273"/>
      <c r="C188" s="273"/>
      <c r="D188" s="273"/>
      <c r="E188" s="273"/>
      <c r="F188" s="273"/>
      <c r="G188" s="273"/>
      <c r="H188" s="273"/>
    </row>
    <row r="189" spans="1:8" x14ac:dyDescent="0.25">
      <c r="A189" s="242" t="s">
        <v>295</v>
      </c>
      <c r="B189" s="243"/>
      <c r="C189" s="244"/>
      <c r="D189" s="44"/>
      <c r="E189" s="322" t="str">
        <f>IF(D189="","",IF(AND(D187="Filtration Stormwater Planter",D189&lt;0.5),"Underdrain required",IF(AND(D187="Infiltration Stormwater Planter",D189&lt;0.5),"Does not meet design criteria. Design as Filtration Stormwater Planter","")))</f>
        <v/>
      </c>
      <c r="F189" s="323"/>
      <c r="G189" s="323"/>
      <c r="H189" s="324"/>
    </row>
    <row r="190" spans="1:8" x14ac:dyDescent="0.25">
      <c r="A190" s="245" t="s">
        <v>247</v>
      </c>
      <c r="B190" s="245"/>
      <c r="C190" s="245"/>
      <c r="D190" s="211"/>
      <c r="E190" s="322" t="str">
        <f>IF(D190="","This practice cannot be used for hotspot treatment",IF(D190="Yes","Does not meet design criteria",""))</f>
        <v>This practice cannot be used for hotspot treatment</v>
      </c>
      <c r="F190" s="323"/>
      <c r="G190" s="323"/>
      <c r="H190" s="324"/>
    </row>
    <row r="191" spans="1:8" x14ac:dyDescent="0.25">
      <c r="A191" s="242" t="s">
        <v>387</v>
      </c>
      <c r="B191" s="243"/>
      <c r="C191" s="244"/>
      <c r="D191" s="227" t="e">
        <f>IF((B186*43560)&gt;15000,"Yes","No")</f>
        <v>#VALUE!</v>
      </c>
      <c r="E191" s="322" t="str">
        <f>IF(F186="","",IF(D191="","",IF(D191="Yes","Does not meet design criteria","")))</f>
        <v/>
      </c>
      <c r="F191" s="323"/>
      <c r="G191" s="323"/>
      <c r="H191" s="324"/>
    </row>
    <row r="192" spans="1:8" x14ac:dyDescent="0.25">
      <c r="A192" s="245" t="s">
        <v>377</v>
      </c>
      <c r="B192" s="245"/>
      <c r="C192" s="245"/>
      <c r="D192" s="211"/>
      <c r="E192" s="322" t="str">
        <f>IF(D192="Yes","Does not meet design criteria","")</f>
        <v/>
      </c>
      <c r="F192" s="323"/>
      <c r="G192" s="323"/>
      <c r="H192" s="324"/>
    </row>
    <row r="193" spans="1:8" x14ac:dyDescent="0.25">
      <c r="A193" s="242" t="s">
        <v>713</v>
      </c>
      <c r="B193" s="243"/>
      <c r="C193" s="244"/>
      <c r="D193" s="43"/>
      <c r="E193" s="322" t="str">
        <f>IF(D193="","",IF(AND(D187="Infiltration Stormwater Planter",D193&lt;2),"Does not meet design criteria. Design as Filtration Rain Garden",IF(AND(D187="Filtration Stormwater Planter",D193&lt;2),"Impermeable liner required","")))</f>
        <v/>
      </c>
      <c r="F193" s="323"/>
      <c r="G193" s="323"/>
      <c r="H193" s="324"/>
    </row>
    <row r="194" spans="1:8" x14ac:dyDescent="0.25">
      <c r="A194" s="242" t="s">
        <v>297</v>
      </c>
      <c r="B194" s="243"/>
      <c r="C194" s="244"/>
      <c r="D194" s="43"/>
      <c r="E194" s="322" t="str">
        <f>IF(D194="","",IF(AND(D187="Infiltration Stormwater Planter",D194&lt;2),"Does not meet design criteria. Design as Filtration Rain Garden",IF(AND(D187="Filtration Stormwater Planter",D194&lt;2),"Impermeable liner required","")))</f>
        <v/>
      </c>
      <c r="F194" s="323"/>
      <c r="G194" s="323"/>
      <c r="H194" s="324"/>
    </row>
    <row r="195" spans="1:8" x14ac:dyDescent="0.25">
      <c r="A195" s="242" t="s">
        <v>378</v>
      </c>
      <c r="B195" s="243"/>
      <c r="C195" s="244"/>
      <c r="D195" s="43"/>
      <c r="E195" s="322" t="str">
        <f>IF(D195="","",IF(D195&lt;3,"Does not meet design criteria",""))</f>
        <v/>
      </c>
      <c r="F195" s="323"/>
      <c r="G195" s="323"/>
      <c r="H195" s="324"/>
    </row>
    <row r="196" spans="1:8" x14ac:dyDescent="0.25">
      <c r="A196" s="242" t="s">
        <v>300</v>
      </c>
      <c r="B196" s="243"/>
      <c r="C196" s="244"/>
      <c r="D196" s="43"/>
      <c r="E196" s="322" t="str">
        <f>IF(D196="","",IF(AND(D187="Filtration Stormwater Planter",D196&lt;10),"Does not meet design criteria",IF(AND(D187="Infiltration Stormwater Planter",D196&lt;6),"Does not meet design criteria","")))</f>
        <v/>
      </c>
      <c r="F196" s="323"/>
      <c r="G196" s="323"/>
      <c r="H196" s="324"/>
    </row>
    <row r="197" spans="1:8" ht="13" x14ac:dyDescent="0.25">
      <c r="A197" s="236" t="s">
        <v>232</v>
      </c>
      <c r="B197" s="237"/>
      <c r="C197" s="237"/>
      <c r="D197" s="237"/>
      <c r="E197" s="237"/>
      <c r="F197" s="237"/>
      <c r="G197" s="237"/>
      <c r="H197" s="238"/>
    </row>
    <row r="198" spans="1:8" ht="13" x14ac:dyDescent="0.25">
      <c r="A198" s="35"/>
      <c r="B198" s="36"/>
      <c r="C198" s="36"/>
      <c r="D198" s="37"/>
      <c r="E198" s="302" t="s">
        <v>256</v>
      </c>
      <c r="F198" s="302"/>
      <c r="G198" s="38" t="s">
        <v>257</v>
      </c>
      <c r="H198" s="38" t="s">
        <v>258</v>
      </c>
    </row>
    <row r="199" spans="1:8" x14ac:dyDescent="0.25">
      <c r="A199" s="289" t="s">
        <v>302</v>
      </c>
      <c r="B199" s="289"/>
      <c r="C199" s="289"/>
      <c r="D199" s="198" t="s">
        <v>303</v>
      </c>
      <c r="E199" s="334" t="str">
        <f>F186</f>
        <v/>
      </c>
      <c r="F199" s="334"/>
      <c r="G199" s="193" t="s">
        <v>2</v>
      </c>
      <c r="H199" s="219"/>
    </row>
    <row r="200" spans="1:8" x14ac:dyDescent="0.25">
      <c r="A200" s="289" t="s">
        <v>379</v>
      </c>
      <c r="B200" s="289"/>
      <c r="C200" s="289"/>
      <c r="D200" s="198" t="s">
        <v>305</v>
      </c>
      <c r="E200" s="336"/>
      <c r="F200" s="336"/>
      <c r="G200" s="193" t="s">
        <v>271</v>
      </c>
      <c r="H200" s="219" t="str">
        <f>IF(E200="","",IF(AND(D187="Filtration Stormwater Planter",E200&lt;1.5),"Does not meet design criteria",IF(AND(D187="Filtration Stormwater Planter",E200&gt;2.5),"Does not meet design criteria",IF(AND(D187="Infiltration Stormwater Planter",E200&lt;1.5),"Does not meet design criteria",IF(AND(D187="Infiltration Stormwater Planter",E200&gt;2.5),"Does not meet design criteria","")))))</f>
        <v/>
      </c>
    </row>
    <row r="201" spans="1:8" x14ac:dyDescent="0.25">
      <c r="A201" s="266" t="s">
        <v>306</v>
      </c>
      <c r="B201" s="267"/>
      <c r="C201" s="268"/>
      <c r="D201" s="198" t="s">
        <v>307</v>
      </c>
      <c r="E201" s="289">
        <v>1</v>
      </c>
      <c r="F201" s="289"/>
      <c r="G201" s="193" t="s">
        <v>308</v>
      </c>
      <c r="H201" s="219"/>
    </row>
    <row r="202" spans="1:8" x14ac:dyDescent="0.25">
      <c r="A202" s="289" t="s">
        <v>309</v>
      </c>
      <c r="B202" s="289"/>
      <c r="C202" s="289"/>
      <c r="D202" s="198" t="s">
        <v>310</v>
      </c>
      <c r="E202" s="336"/>
      <c r="F202" s="336"/>
      <c r="G202" s="193" t="s">
        <v>271</v>
      </c>
      <c r="H202" s="219" t="str">
        <f>IF(E202&gt;0.5,"Does not meet design criteia","")</f>
        <v/>
      </c>
    </row>
    <row r="203" spans="1:8" x14ac:dyDescent="0.25">
      <c r="A203" s="289" t="s">
        <v>388</v>
      </c>
      <c r="B203" s="289"/>
      <c r="C203" s="289"/>
      <c r="D203" s="198" t="s">
        <v>312</v>
      </c>
      <c r="E203" s="289">
        <v>2</v>
      </c>
      <c r="F203" s="289"/>
      <c r="G203" s="193" t="s">
        <v>313</v>
      </c>
      <c r="H203" s="219"/>
    </row>
    <row r="204" spans="1:8" x14ac:dyDescent="0.25">
      <c r="A204" s="266" t="s">
        <v>381</v>
      </c>
      <c r="B204" s="267"/>
      <c r="C204" s="268"/>
      <c r="D204" s="198" t="s">
        <v>315</v>
      </c>
      <c r="E204" s="308" t="e">
        <f>(E199*E200)/(E201*(E202+E200)*E203)</f>
        <v>#VALUE!</v>
      </c>
      <c r="F204" s="308"/>
      <c r="G204" s="193" t="s">
        <v>316</v>
      </c>
      <c r="H204" s="219"/>
    </row>
    <row r="205" spans="1:8" x14ac:dyDescent="0.25">
      <c r="A205" s="266" t="s">
        <v>382</v>
      </c>
      <c r="B205" s="267"/>
      <c r="C205" s="268"/>
      <c r="D205" s="198" t="s">
        <v>315</v>
      </c>
      <c r="E205" s="336"/>
      <c r="F205" s="336"/>
      <c r="G205" s="193" t="s">
        <v>316</v>
      </c>
      <c r="H205" s="219" t="str">
        <f>IF(E205="","",IF(E204&gt;E205,"Does not meet sizing criteria",""))</f>
        <v/>
      </c>
    </row>
    <row r="206" spans="1:8" x14ac:dyDescent="0.25">
      <c r="A206" s="266" t="s">
        <v>383</v>
      </c>
      <c r="B206" s="267"/>
      <c r="C206" s="268"/>
      <c r="D206" s="198" t="s">
        <v>384</v>
      </c>
      <c r="E206" s="266" t="str">
        <f>IF(E205="","",(E205*(E201*(E202+E200)*E203))/E200)</f>
        <v/>
      </c>
      <c r="F206" s="268"/>
      <c r="G206" s="193" t="s">
        <v>2</v>
      </c>
      <c r="H206" s="219" t="str">
        <f>IF(E206="","",IF(E205&gt;E206,"Does not meet sizing criteria",""))</f>
        <v/>
      </c>
    </row>
    <row r="207" spans="1:8" ht="13" x14ac:dyDescent="0.25">
      <c r="A207" s="236" t="s">
        <v>276</v>
      </c>
      <c r="B207" s="237"/>
      <c r="C207" s="237"/>
      <c r="D207" s="237"/>
      <c r="E207" s="237"/>
      <c r="F207" s="237"/>
      <c r="G207" s="237"/>
      <c r="H207" s="238"/>
    </row>
    <row r="208" spans="1:8" ht="13" x14ac:dyDescent="0.25">
      <c r="A208" s="335" t="s">
        <v>241</v>
      </c>
      <c r="B208" s="335"/>
      <c r="C208" s="9" t="str">
        <f>IF(A186="","",IF(D190="Yes",0,IF(B186="",0,IF(AND(D187="Infiltration Stormwater Planter",D189&lt;0.5),0,IF(D191="Yes",0,IF(D192="Yes",0,IF(AND(D187="Infiltration Stormwater Planter",D193&lt;2),0,IF(AND(D187="Infiltration Stormwater Planter",D194&lt;2),0,IF(D195&lt;3,0,IF(AND(D187="Filtration Stormwater Planter",D196&lt;10),0,IF(AND(D187="Infiltration Stormwater Planter",D196&lt;6),0,IF(E200&lt;1.5,0,IF(E200&gt;2.5,0,IF(E202&gt;0.5,0,IF(E205&lt;E204,0,IF(AND(D187="Filtration Stormwater Planter",E206*0.4&lt;=F186),E206*0.4,IF(AND(D187="Filtration Stormwater Planter",E206*0.4&gt;F186),F186,IF(D187="Infiltration Stormwater Planter",F186*1))))))))))))))))))</f>
        <v/>
      </c>
      <c r="D208" s="310" t="s">
        <v>2</v>
      </c>
      <c r="E208" s="311"/>
      <c r="F208" s="311"/>
      <c r="G208" s="311"/>
      <c r="H208" s="312"/>
    </row>
    <row r="209" spans="1:8" ht="13" x14ac:dyDescent="0.3">
      <c r="A209" s="24" t="s">
        <v>56</v>
      </c>
      <c r="B209" s="23" t="str">
        <f>IF('STEP 2-WQv Calculation'!$B$4="","",'STEP 2-WQv Calculation'!$B$4)</f>
        <v/>
      </c>
      <c r="C209" s="31"/>
      <c r="D209" s="31"/>
      <c r="E209" s="32"/>
      <c r="F209" s="33"/>
      <c r="G209" s="33"/>
      <c r="H209" s="33"/>
    </row>
    <row r="210" spans="1:8" ht="13" x14ac:dyDescent="0.25">
      <c r="A210" s="331" t="s">
        <v>293</v>
      </c>
      <c r="B210" s="332"/>
      <c r="C210" s="332"/>
      <c r="D210" s="332"/>
      <c r="E210" s="332"/>
      <c r="F210" s="332"/>
      <c r="G210" s="332"/>
      <c r="H210" s="333"/>
    </row>
    <row r="211" spans="1:8" ht="38.5" x14ac:dyDescent="0.25">
      <c r="A211" s="204" t="s">
        <v>60</v>
      </c>
      <c r="B211" s="205" t="s">
        <v>61</v>
      </c>
      <c r="C211" s="205" t="s">
        <v>62</v>
      </c>
      <c r="D211" s="205" t="s">
        <v>63</v>
      </c>
      <c r="E211" s="205" t="s">
        <v>64</v>
      </c>
      <c r="F211" s="205" t="s">
        <v>65</v>
      </c>
      <c r="G211" s="205" t="s">
        <v>244</v>
      </c>
      <c r="H211" s="206" t="s">
        <v>13</v>
      </c>
    </row>
    <row r="212" spans="1:8" x14ac:dyDescent="0.25">
      <c r="A212" s="17"/>
      <c r="B212" s="18" t="str">
        <f>IF($A212="","",(LOOKUP($A212,'STEP 2-WQv Calculation'!$A$8:$A$37,'STEP 2-WQv Calculation'!$B$8:$B$37)))</f>
        <v/>
      </c>
      <c r="C212" s="18" t="str">
        <f>IF($A212="","",(LOOKUP($A212,'STEP 2-WQv Calculation'!$A$8:$A$37,'STEP 2-WQv Calculation'!$C$8:$C$37)))</f>
        <v/>
      </c>
      <c r="D212" s="53" t="str">
        <f>IF($A212="","",(LOOKUP($A212,'STEP 2-WQv Calculation'!$A$8:$A$37,'STEP 2-WQv Calculation'!$D$8:$D$37)))</f>
        <v/>
      </c>
      <c r="E212" s="18" t="str">
        <f>IF($A212="","",(LOOKUP($A212,'STEP 2-WQv Calculation'!$A$8:$A$37,'STEP 2-WQv Calculation'!$E$8:$E$37)))</f>
        <v/>
      </c>
      <c r="F212" s="42" t="str">
        <f>IF($A212="","",(LOOKUP($A212,'STEP 2-WQv Calculation'!$A$8:$A$37,'STEP 2-WQv Calculation'!$F$8:$F$37)))</f>
        <v/>
      </c>
      <c r="G212" s="18">
        <f>'STEP 2-WQv Calculation'!B109</f>
        <v>0</v>
      </c>
      <c r="H212" s="29" t="str">
        <f>IF($A212="","",(LOOKUP($A212,'STEP 2-WQv Calculation'!$A$8:$A$37,'STEP 2-WQv Calculation'!$G$8:$G$37)))</f>
        <v/>
      </c>
    </row>
    <row r="213" spans="1:8" x14ac:dyDescent="0.25">
      <c r="A213" s="242" t="s">
        <v>386</v>
      </c>
      <c r="B213" s="243"/>
      <c r="C213" s="244"/>
      <c r="D213" s="364" t="s">
        <v>389</v>
      </c>
      <c r="E213" s="365"/>
      <c r="F213" s="365"/>
      <c r="G213" s="365"/>
      <c r="H213" s="366"/>
    </row>
    <row r="214" spans="1:8" ht="13" x14ac:dyDescent="0.3">
      <c r="A214" s="273" t="s">
        <v>226</v>
      </c>
      <c r="B214" s="273"/>
      <c r="C214" s="273"/>
      <c r="D214" s="273"/>
      <c r="E214" s="273"/>
      <c r="F214" s="273"/>
      <c r="G214" s="273"/>
      <c r="H214" s="273"/>
    </row>
    <row r="215" spans="1:8" x14ac:dyDescent="0.25">
      <c r="A215" s="242" t="s">
        <v>295</v>
      </c>
      <c r="B215" s="243"/>
      <c r="C215" s="244"/>
      <c r="D215" s="44"/>
      <c r="E215" s="322" t="str">
        <f>IF(D215="","",IF(AND(D213="Filtration Stormwater Planter",D215&lt;0.5),"Underdrain required",IF(AND(D213="Infiltration Stormwater Planter",D215&lt;0.5),"Does not meet design criteria. Design as Filtration Stormwater Planter","")))</f>
        <v/>
      </c>
      <c r="F215" s="323"/>
      <c r="G215" s="323"/>
      <c r="H215" s="324"/>
    </row>
    <row r="216" spans="1:8" x14ac:dyDescent="0.25">
      <c r="A216" s="245" t="s">
        <v>247</v>
      </c>
      <c r="B216" s="245"/>
      <c r="C216" s="245"/>
      <c r="D216" s="211"/>
      <c r="E216" s="322" t="str">
        <f>IF(D216="","This practice cannot be used for hotspot treatment",IF(D216="Yes","Does not meet design criteria",""))</f>
        <v>This practice cannot be used for hotspot treatment</v>
      </c>
      <c r="F216" s="323"/>
      <c r="G216" s="323"/>
      <c r="H216" s="324"/>
    </row>
    <row r="217" spans="1:8" x14ac:dyDescent="0.25">
      <c r="A217" s="242" t="s">
        <v>387</v>
      </c>
      <c r="B217" s="243"/>
      <c r="C217" s="244"/>
      <c r="D217" s="227" t="e">
        <f>IF((B212*43560)&gt;15000,"Yes","No")</f>
        <v>#VALUE!</v>
      </c>
      <c r="E217" s="322" t="str">
        <f>IF(F212="","",IF(D217="","",IF(D217="Yes","Does not meet design criteria","")))</f>
        <v/>
      </c>
      <c r="F217" s="323"/>
      <c r="G217" s="323"/>
      <c r="H217" s="324"/>
    </row>
    <row r="218" spans="1:8" x14ac:dyDescent="0.25">
      <c r="A218" s="245" t="s">
        <v>377</v>
      </c>
      <c r="B218" s="245"/>
      <c r="C218" s="245"/>
      <c r="D218" s="211"/>
      <c r="E218" s="322" t="str">
        <f>IF(D218="Yes","Does not meet design criteria","")</f>
        <v/>
      </c>
      <c r="F218" s="323"/>
      <c r="G218" s="323"/>
      <c r="H218" s="324"/>
    </row>
    <row r="219" spans="1:8" x14ac:dyDescent="0.25">
      <c r="A219" s="242" t="s">
        <v>713</v>
      </c>
      <c r="B219" s="243"/>
      <c r="C219" s="244"/>
      <c r="D219" s="43"/>
      <c r="E219" s="322" t="str">
        <f>IF(D219="","",IF(AND(D213="Infiltration Stormwater Planter",D219&lt;2),"Does not meet design criteria. Design as Filtration Rain Garden",IF(AND(D213="Filtration Stormwater Planter",D219&lt;2),"Impermeable liner required","")))</f>
        <v/>
      </c>
      <c r="F219" s="323"/>
      <c r="G219" s="323"/>
      <c r="H219" s="324"/>
    </row>
    <row r="220" spans="1:8" x14ac:dyDescent="0.25">
      <c r="A220" s="242" t="s">
        <v>297</v>
      </c>
      <c r="B220" s="243"/>
      <c r="C220" s="244"/>
      <c r="D220" s="43"/>
      <c r="E220" s="322" t="str">
        <f>IF(D220="","",IF(AND(D213="Infiltration Stormwater Planter",D220&lt;2),"Does not meet design criteria. Design as Filtration Rain Garden",IF(AND(D213="Filtration Stormwater Planter",D220&lt;2),"Impermeable liner required","")))</f>
        <v/>
      </c>
      <c r="F220" s="323"/>
      <c r="G220" s="323"/>
      <c r="H220" s="324"/>
    </row>
    <row r="221" spans="1:8" x14ac:dyDescent="0.25">
      <c r="A221" s="242" t="s">
        <v>378</v>
      </c>
      <c r="B221" s="243"/>
      <c r="C221" s="244"/>
      <c r="D221" s="43"/>
      <c r="E221" s="322" t="str">
        <f>IF(D221="","",IF(D221&lt;3,"Does not meet design criteria",""))</f>
        <v/>
      </c>
      <c r="F221" s="323"/>
      <c r="G221" s="323"/>
      <c r="H221" s="324"/>
    </row>
    <row r="222" spans="1:8" x14ac:dyDescent="0.25">
      <c r="A222" s="242" t="s">
        <v>300</v>
      </c>
      <c r="B222" s="243"/>
      <c r="C222" s="244"/>
      <c r="D222" s="43"/>
      <c r="E222" s="322" t="str">
        <f>IF(D222="","",IF(AND(D213="Filtration Stormwater Planter",D222&lt;10),"Does not meet design criteria",IF(AND(D213="Infiltration Stormwater Planter",D222&lt;6),"Does not meet design criteria","")))</f>
        <v/>
      </c>
      <c r="F222" s="323"/>
      <c r="G222" s="323"/>
      <c r="H222" s="324"/>
    </row>
    <row r="223" spans="1:8" ht="13" x14ac:dyDescent="0.25">
      <c r="A223" s="236" t="s">
        <v>232</v>
      </c>
      <c r="B223" s="237"/>
      <c r="C223" s="237"/>
      <c r="D223" s="237"/>
      <c r="E223" s="237"/>
      <c r="F223" s="237"/>
      <c r="G223" s="237"/>
      <c r="H223" s="238"/>
    </row>
    <row r="224" spans="1:8" ht="13" x14ac:dyDescent="0.25">
      <c r="A224" s="35"/>
      <c r="B224" s="36"/>
      <c r="C224" s="36"/>
      <c r="D224" s="37"/>
      <c r="E224" s="302" t="s">
        <v>256</v>
      </c>
      <c r="F224" s="302"/>
      <c r="G224" s="38" t="s">
        <v>257</v>
      </c>
      <c r="H224" s="38" t="s">
        <v>258</v>
      </c>
    </row>
    <row r="225" spans="1:8" x14ac:dyDescent="0.25">
      <c r="A225" s="289" t="s">
        <v>302</v>
      </c>
      <c r="B225" s="289"/>
      <c r="C225" s="289"/>
      <c r="D225" s="198" t="s">
        <v>303</v>
      </c>
      <c r="E225" s="334" t="str">
        <f>F212</f>
        <v/>
      </c>
      <c r="F225" s="334"/>
      <c r="G225" s="193" t="s">
        <v>2</v>
      </c>
      <c r="H225" s="219"/>
    </row>
    <row r="226" spans="1:8" x14ac:dyDescent="0.25">
      <c r="A226" s="289" t="s">
        <v>379</v>
      </c>
      <c r="B226" s="289"/>
      <c r="C226" s="289"/>
      <c r="D226" s="198" t="s">
        <v>305</v>
      </c>
      <c r="E226" s="336"/>
      <c r="F226" s="336"/>
      <c r="G226" s="193" t="s">
        <v>271</v>
      </c>
      <c r="H226" s="219" t="str">
        <f>IF(E226="","",IF(AND(D213="Filtration Stormwater Planter",E226&lt;1.5),"Does not meet design criteria",IF(AND(D213="Filtration Stormwater Planter",E226&gt;2.5),"Does not meet design criteria",IF(AND(D213="Infiltration Stormwater Planter",E226&lt;1.5),"Does not meet design criteria",IF(AND(D213="Infiltration Stormwater Planter",E226&gt;2.5),"Does not meet design criteria","")))))</f>
        <v/>
      </c>
    </row>
    <row r="227" spans="1:8" x14ac:dyDescent="0.25">
      <c r="A227" s="266" t="s">
        <v>306</v>
      </c>
      <c r="B227" s="267"/>
      <c r="C227" s="268"/>
      <c r="D227" s="198" t="s">
        <v>307</v>
      </c>
      <c r="E227" s="289">
        <v>1</v>
      </c>
      <c r="F227" s="289"/>
      <c r="G227" s="193" t="s">
        <v>308</v>
      </c>
      <c r="H227" s="219"/>
    </row>
    <row r="228" spans="1:8" x14ac:dyDescent="0.25">
      <c r="A228" s="289" t="s">
        <v>309</v>
      </c>
      <c r="B228" s="289"/>
      <c r="C228" s="289"/>
      <c r="D228" s="198" t="s">
        <v>310</v>
      </c>
      <c r="E228" s="336"/>
      <c r="F228" s="336"/>
      <c r="G228" s="193" t="s">
        <v>271</v>
      </c>
      <c r="H228" s="219" t="str">
        <f>IF(E228&gt;0.5,"Does not meet design criteia","")</f>
        <v/>
      </c>
    </row>
    <row r="229" spans="1:8" x14ac:dyDescent="0.25">
      <c r="A229" s="289" t="s">
        <v>388</v>
      </c>
      <c r="B229" s="289"/>
      <c r="C229" s="289"/>
      <c r="D229" s="198" t="s">
        <v>312</v>
      </c>
      <c r="E229" s="289">
        <v>2</v>
      </c>
      <c r="F229" s="289"/>
      <c r="G229" s="193" t="s">
        <v>313</v>
      </c>
      <c r="H229" s="219"/>
    </row>
    <row r="230" spans="1:8" x14ac:dyDescent="0.25">
      <c r="A230" s="266" t="s">
        <v>381</v>
      </c>
      <c r="B230" s="267"/>
      <c r="C230" s="268"/>
      <c r="D230" s="198" t="s">
        <v>315</v>
      </c>
      <c r="E230" s="308" t="e">
        <f>(E225*E226)/(E227*(E228+E226)*E229)</f>
        <v>#VALUE!</v>
      </c>
      <c r="F230" s="308"/>
      <c r="G230" s="193" t="s">
        <v>316</v>
      </c>
      <c r="H230" s="219"/>
    </row>
    <row r="231" spans="1:8" x14ac:dyDescent="0.25">
      <c r="A231" s="266" t="s">
        <v>382</v>
      </c>
      <c r="B231" s="267"/>
      <c r="C231" s="268"/>
      <c r="D231" s="198" t="s">
        <v>315</v>
      </c>
      <c r="E231" s="336"/>
      <c r="F231" s="336"/>
      <c r="G231" s="193" t="s">
        <v>316</v>
      </c>
      <c r="H231" s="219" t="str">
        <f>IF(E231="","",IF(E230&gt;E231,"Does not meet sizing criteria",""))</f>
        <v/>
      </c>
    </row>
    <row r="232" spans="1:8" x14ac:dyDescent="0.25">
      <c r="A232" s="266" t="s">
        <v>383</v>
      </c>
      <c r="B232" s="267"/>
      <c r="C232" s="268"/>
      <c r="D232" s="198" t="s">
        <v>384</v>
      </c>
      <c r="E232" s="266" t="str">
        <f>IF(E231="","",(E231*(E227*(E228+E226)*E229))/E226)</f>
        <v/>
      </c>
      <c r="F232" s="268"/>
      <c r="G232" s="193" t="s">
        <v>2</v>
      </c>
      <c r="H232" s="219" t="str">
        <f>IF(E232="","",IF(E231&gt;E232,"Does not meet sizing criteria",""))</f>
        <v/>
      </c>
    </row>
    <row r="233" spans="1:8" ht="13" x14ac:dyDescent="0.25">
      <c r="A233" s="236" t="s">
        <v>276</v>
      </c>
      <c r="B233" s="237"/>
      <c r="C233" s="237"/>
      <c r="D233" s="237"/>
      <c r="E233" s="237"/>
      <c r="F233" s="237"/>
      <c r="G233" s="237"/>
      <c r="H233" s="238"/>
    </row>
    <row r="234" spans="1:8" ht="13" x14ac:dyDescent="0.25">
      <c r="A234" s="335" t="s">
        <v>241</v>
      </c>
      <c r="B234" s="335"/>
      <c r="C234" s="9" t="str">
        <f>IF(A212="","",IF(D216="Yes",0,IF(B212="",0,IF(AND(D213="Infiltration Stormwater Planter",D215&lt;0.5),0,IF(D217="Yes",0,IF(D218="Yes",0,IF(AND(D213="Infiltration Stormwater Planter",D219&lt;2),0,IF(AND(D213="Infiltration Stormwater Planter",D220&lt;2),0,IF(D221&lt;3,0,IF(AND(D213="Filtration Stormwater Planter",D222&lt;10),0,IF(AND(D213="Infiltration Stormwater Planter",D222&lt;6),0,IF(E226&lt;1.5,0,IF(E226&gt;2.5,0,IF(E228&gt;0.5,0,IF(E231&lt;E230,0,IF(AND(D213="Filtration Stormwater Planter",E232*0.4&lt;=F212),E232*0.4,IF(AND(D213="Filtration Stormwater Planter",E232*0.4&gt;F212),F212,IF(D213="Infiltration Stormwater Planter",F212*1))))))))))))))))))</f>
        <v/>
      </c>
      <c r="D234" s="310" t="s">
        <v>2</v>
      </c>
      <c r="E234" s="311"/>
      <c r="F234" s="311"/>
      <c r="G234" s="311"/>
      <c r="H234" s="312"/>
    </row>
    <row r="235" spans="1:8" ht="13" x14ac:dyDescent="0.3">
      <c r="A235" s="24" t="s">
        <v>56</v>
      </c>
      <c r="B235" s="23" t="str">
        <f>IF('STEP 2-WQv Calculation'!$B$4="","",'STEP 2-WQv Calculation'!$B$4)</f>
        <v/>
      </c>
      <c r="C235" s="31"/>
      <c r="D235" s="31"/>
      <c r="E235" s="32"/>
      <c r="F235" s="33"/>
      <c r="G235" s="33"/>
      <c r="H235" s="33"/>
    </row>
    <row r="236" spans="1:8" ht="13" x14ac:dyDescent="0.25">
      <c r="A236" s="331" t="s">
        <v>293</v>
      </c>
      <c r="B236" s="332"/>
      <c r="C236" s="332"/>
      <c r="D236" s="332"/>
      <c r="E236" s="332"/>
      <c r="F236" s="332"/>
      <c r="G236" s="332"/>
      <c r="H236" s="333"/>
    </row>
    <row r="237" spans="1:8" ht="38.5" x14ac:dyDescent="0.25">
      <c r="A237" s="204" t="s">
        <v>60</v>
      </c>
      <c r="B237" s="205" t="s">
        <v>61</v>
      </c>
      <c r="C237" s="205" t="s">
        <v>62</v>
      </c>
      <c r="D237" s="205" t="s">
        <v>63</v>
      </c>
      <c r="E237" s="205" t="s">
        <v>64</v>
      </c>
      <c r="F237" s="205" t="s">
        <v>65</v>
      </c>
      <c r="G237" s="205" t="s">
        <v>244</v>
      </c>
      <c r="H237" s="206" t="s">
        <v>13</v>
      </c>
    </row>
    <row r="238" spans="1:8" x14ac:dyDescent="0.25">
      <c r="A238" s="17"/>
      <c r="B238" s="18" t="str">
        <f>IF($A238="","",(LOOKUP($A238,'STEP 2-WQv Calculation'!$A$8:$A$37,'STEP 2-WQv Calculation'!$B$8:$B$37)))</f>
        <v/>
      </c>
      <c r="C238" s="18" t="str">
        <f>IF($A238="","",(LOOKUP($A238,'STEP 2-WQv Calculation'!$A$8:$A$37,'STEP 2-WQv Calculation'!$C$8:$C$37)))</f>
        <v/>
      </c>
      <c r="D238" s="53" t="str">
        <f>IF($A238="","",(LOOKUP($A238,'STEP 2-WQv Calculation'!$A$8:$A$37,'STEP 2-WQv Calculation'!$D$8:$D$37)))</f>
        <v/>
      </c>
      <c r="E238" s="18" t="str">
        <f>IF($A238="","",(LOOKUP($A238,'STEP 2-WQv Calculation'!$A$8:$A$37,'STEP 2-WQv Calculation'!$E$8:$E$37)))</f>
        <v/>
      </c>
      <c r="F238" s="42" t="str">
        <f>IF($A238="","",(LOOKUP($A238,'STEP 2-WQv Calculation'!$A$8:$A$37,'STEP 2-WQv Calculation'!$F$8:$F$37)))</f>
        <v/>
      </c>
      <c r="G238" s="18">
        <f>'STEP 2-WQv Calculation'!B135</f>
        <v>0</v>
      </c>
      <c r="H238" s="29" t="str">
        <f>IF($A238="","",(LOOKUP($A238,'STEP 2-WQv Calculation'!$A$8:$A$37,'STEP 2-WQv Calculation'!$G$8:$G$37)))</f>
        <v/>
      </c>
    </row>
    <row r="239" spans="1:8" x14ac:dyDescent="0.25">
      <c r="A239" s="242" t="s">
        <v>386</v>
      </c>
      <c r="B239" s="243"/>
      <c r="C239" s="244"/>
      <c r="D239" s="364" t="s">
        <v>389</v>
      </c>
      <c r="E239" s="365"/>
      <c r="F239" s="365"/>
      <c r="G239" s="365"/>
      <c r="H239" s="366"/>
    </row>
    <row r="240" spans="1:8" ht="13" x14ac:dyDescent="0.3">
      <c r="A240" s="273" t="s">
        <v>226</v>
      </c>
      <c r="B240" s="273"/>
      <c r="C240" s="273"/>
      <c r="D240" s="273"/>
      <c r="E240" s="273"/>
      <c r="F240" s="273"/>
      <c r="G240" s="273"/>
      <c r="H240" s="273"/>
    </row>
    <row r="241" spans="1:8" x14ac:dyDescent="0.25">
      <c r="A241" s="242" t="s">
        <v>295</v>
      </c>
      <c r="B241" s="243"/>
      <c r="C241" s="244"/>
      <c r="D241" s="44"/>
      <c r="E241" s="322" t="str">
        <f>IF(D241="","",IF(AND(D239="Filtration Stormwater Planter",D241&lt;0.5),"Underdrain required",IF(AND(D239="Infiltration Stormwater Planter",D241&lt;0.5),"Does not meet design criteria. Design as Filtration Stormwater Planter","")))</f>
        <v/>
      </c>
      <c r="F241" s="323"/>
      <c r="G241" s="323"/>
      <c r="H241" s="324"/>
    </row>
    <row r="242" spans="1:8" x14ac:dyDescent="0.25">
      <c r="A242" s="245" t="s">
        <v>247</v>
      </c>
      <c r="B242" s="245"/>
      <c r="C242" s="245"/>
      <c r="D242" s="211"/>
      <c r="E242" s="322" t="str">
        <f>IF(D242="","This practice cannot be used for hotspot treatment",IF(D242="Yes","Does not meet design criteria",""))</f>
        <v>This practice cannot be used for hotspot treatment</v>
      </c>
      <c r="F242" s="323"/>
      <c r="G242" s="323"/>
      <c r="H242" s="324"/>
    </row>
    <row r="243" spans="1:8" x14ac:dyDescent="0.25">
      <c r="A243" s="242" t="s">
        <v>387</v>
      </c>
      <c r="B243" s="243"/>
      <c r="C243" s="244"/>
      <c r="D243" s="227" t="e">
        <f>IF((B238*43560)&gt;15000,"Yes","No")</f>
        <v>#VALUE!</v>
      </c>
      <c r="E243" s="322" t="str">
        <f>IF(F238="","",IF(D243="","",IF(D243="Yes","Does not meet design criteria","")))</f>
        <v/>
      </c>
      <c r="F243" s="323"/>
      <c r="G243" s="323"/>
      <c r="H243" s="324"/>
    </row>
    <row r="244" spans="1:8" x14ac:dyDescent="0.25">
      <c r="A244" s="245" t="s">
        <v>377</v>
      </c>
      <c r="B244" s="245"/>
      <c r="C244" s="245"/>
      <c r="D244" s="211"/>
      <c r="E244" s="322" t="str">
        <f>IF(D244="Yes","Does not meet design criteria","")</f>
        <v/>
      </c>
      <c r="F244" s="323"/>
      <c r="G244" s="323"/>
      <c r="H244" s="324"/>
    </row>
    <row r="245" spans="1:8" x14ac:dyDescent="0.25">
      <c r="A245" s="242" t="s">
        <v>713</v>
      </c>
      <c r="B245" s="243"/>
      <c r="C245" s="244"/>
      <c r="D245" s="43"/>
      <c r="E245" s="322" t="str">
        <f>IF(D245="","",IF(AND(D239="Infiltration Stormwater Planter",D245&lt;2),"Does not meet design criteria. Design as Filtration Rain Garden",IF(AND(D239="Filtration Stormwater Planter",D245&lt;2),"Impermeable liner required","")))</f>
        <v/>
      </c>
      <c r="F245" s="323"/>
      <c r="G245" s="323"/>
      <c r="H245" s="324"/>
    </row>
    <row r="246" spans="1:8" x14ac:dyDescent="0.25">
      <c r="A246" s="242" t="s">
        <v>297</v>
      </c>
      <c r="B246" s="243"/>
      <c r="C246" s="244"/>
      <c r="D246" s="43"/>
      <c r="E246" s="322" t="str">
        <f>IF(D246="","",IF(AND(D239="Infiltration Stormwater Planter",D246&lt;2),"Does not meet design criteria. Design as Filtration Rain Garden",IF(AND(D239="Filtration Stormwater Planter",D246&lt;2),"Impermeable liner required","")))</f>
        <v/>
      </c>
      <c r="F246" s="323"/>
      <c r="G246" s="323"/>
      <c r="H246" s="324"/>
    </row>
    <row r="247" spans="1:8" x14ac:dyDescent="0.25">
      <c r="A247" s="242" t="s">
        <v>378</v>
      </c>
      <c r="B247" s="243"/>
      <c r="C247" s="244"/>
      <c r="D247" s="43"/>
      <c r="E247" s="322" t="str">
        <f>IF(D247="","",IF(D247&lt;3,"Does not meet design criteria",""))</f>
        <v/>
      </c>
      <c r="F247" s="323"/>
      <c r="G247" s="323"/>
      <c r="H247" s="324"/>
    </row>
    <row r="248" spans="1:8" x14ac:dyDescent="0.25">
      <c r="A248" s="242" t="s">
        <v>300</v>
      </c>
      <c r="B248" s="243"/>
      <c r="C248" s="244"/>
      <c r="D248" s="43"/>
      <c r="E248" s="322" t="str">
        <f>IF(D248="","",IF(AND(D239="Filtration Stormwater Planter",D248&lt;10),"Does not meet design criteria",IF(AND(D239="Infiltration Stormwater Planter",D248&lt;6),"Does not meet design criteria","")))</f>
        <v/>
      </c>
      <c r="F248" s="323"/>
      <c r="G248" s="323"/>
      <c r="H248" s="324"/>
    </row>
    <row r="249" spans="1:8" ht="13" x14ac:dyDescent="0.25">
      <c r="A249" s="236" t="s">
        <v>232</v>
      </c>
      <c r="B249" s="237"/>
      <c r="C249" s="237"/>
      <c r="D249" s="237"/>
      <c r="E249" s="237"/>
      <c r="F249" s="237"/>
      <c r="G249" s="237"/>
      <c r="H249" s="238"/>
    </row>
    <row r="250" spans="1:8" ht="13" x14ac:dyDescent="0.25">
      <c r="A250" s="35"/>
      <c r="B250" s="36"/>
      <c r="C250" s="36"/>
      <c r="D250" s="37"/>
      <c r="E250" s="302" t="s">
        <v>256</v>
      </c>
      <c r="F250" s="302"/>
      <c r="G250" s="38" t="s">
        <v>257</v>
      </c>
      <c r="H250" s="38" t="s">
        <v>258</v>
      </c>
    </row>
    <row r="251" spans="1:8" x14ac:dyDescent="0.25">
      <c r="A251" s="289" t="s">
        <v>302</v>
      </c>
      <c r="B251" s="289"/>
      <c r="C251" s="289"/>
      <c r="D251" s="198" t="s">
        <v>303</v>
      </c>
      <c r="E251" s="334" t="str">
        <f>F238</f>
        <v/>
      </c>
      <c r="F251" s="334"/>
      <c r="G251" s="193" t="s">
        <v>2</v>
      </c>
      <c r="H251" s="219"/>
    </row>
    <row r="252" spans="1:8" x14ac:dyDescent="0.25">
      <c r="A252" s="289" t="s">
        <v>379</v>
      </c>
      <c r="B252" s="289"/>
      <c r="C252" s="289"/>
      <c r="D252" s="198" t="s">
        <v>305</v>
      </c>
      <c r="E252" s="336"/>
      <c r="F252" s="336"/>
      <c r="G252" s="193" t="s">
        <v>271</v>
      </c>
      <c r="H252" s="219" t="str">
        <f>IF(E252="","",IF(AND(D239="Filtration Stormwater Planter",E252&lt;1.5),"Does not meet design criteria",IF(AND(D239="Filtration Stormwater Planter",E252&gt;2.5),"Does not meet design criteria",IF(AND(D239="Infiltration Stormwater Planter",E252&lt;1.5),"Does not meet design criteria",IF(AND(D239="Infiltration Stormwater Planter",E252&gt;2.5),"Does not meet design criteria","")))))</f>
        <v/>
      </c>
    </row>
    <row r="253" spans="1:8" x14ac:dyDescent="0.25">
      <c r="A253" s="266" t="s">
        <v>306</v>
      </c>
      <c r="B253" s="267"/>
      <c r="C253" s="268"/>
      <c r="D253" s="198" t="s">
        <v>307</v>
      </c>
      <c r="E253" s="289">
        <v>1</v>
      </c>
      <c r="F253" s="289"/>
      <c r="G253" s="193" t="s">
        <v>308</v>
      </c>
      <c r="H253" s="219"/>
    </row>
    <row r="254" spans="1:8" x14ac:dyDescent="0.25">
      <c r="A254" s="289" t="s">
        <v>309</v>
      </c>
      <c r="B254" s="289"/>
      <c r="C254" s="289"/>
      <c r="D254" s="198" t="s">
        <v>310</v>
      </c>
      <c r="E254" s="336"/>
      <c r="F254" s="336"/>
      <c r="G254" s="193" t="s">
        <v>271</v>
      </c>
      <c r="H254" s="219" t="str">
        <f>IF(E254&gt;0.5,"Does not meet design criteia","")</f>
        <v/>
      </c>
    </row>
    <row r="255" spans="1:8" x14ac:dyDescent="0.25">
      <c r="A255" s="289" t="s">
        <v>388</v>
      </c>
      <c r="B255" s="289"/>
      <c r="C255" s="289"/>
      <c r="D255" s="198" t="s">
        <v>312</v>
      </c>
      <c r="E255" s="289">
        <v>2</v>
      </c>
      <c r="F255" s="289"/>
      <c r="G255" s="193" t="s">
        <v>313</v>
      </c>
      <c r="H255" s="219"/>
    </row>
    <row r="256" spans="1:8" x14ac:dyDescent="0.25">
      <c r="A256" s="266" t="s">
        <v>381</v>
      </c>
      <c r="B256" s="267"/>
      <c r="C256" s="268"/>
      <c r="D256" s="198" t="s">
        <v>315</v>
      </c>
      <c r="E256" s="308" t="e">
        <f>(E251*E252)/(E253*(E254+E252)*E255)</f>
        <v>#VALUE!</v>
      </c>
      <c r="F256" s="308"/>
      <c r="G256" s="193" t="s">
        <v>316</v>
      </c>
      <c r="H256" s="219"/>
    </row>
    <row r="257" spans="1:8" x14ac:dyDescent="0.25">
      <c r="A257" s="266" t="s">
        <v>382</v>
      </c>
      <c r="B257" s="267"/>
      <c r="C257" s="268"/>
      <c r="D257" s="198" t="s">
        <v>315</v>
      </c>
      <c r="E257" s="336"/>
      <c r="F257" s="336"/>
      <c r="G257" s="193" t="s">
        <v>316</v>
      </c>
      <c r="H257" s="219" t="str">
        <f>IF(E257="","",IF(E256&gt;E257,"Does not meet sizing criteria",""))</f>
        <v/>
      </c>
    </row>
    <row r="258" spans="1:8" x14ac:dyDescent="0.25">
      <c r="A258" s="266" t="s">
        <v>383</v>
      </c>
      <c r="B258" s="267"/>
      <c r="C258" s="268"/>
      <c r="D258" s="198" t="s">
        <v>384</v>
      </c>
      <c r="E258" s="266" t="str">
        <f>IF(E257="","",(E257*(E253*(E254+E252)*E255))/E252)</f>
        <v/>
      </c>
      <c r="F258" s="268"/>
      <c r="G258" s="193" t="s">
        <v>2</v>
      </c>
      <c r="H258" s="219" t="str">
        <f>IF(E258="","",IF(E257&gt;E258,"Does not meet sizing criteria",""))</f>
        <v/>
      </c>
    </row>
    <row r="259" spans="1:8" ht="13" x14ac:dyDescent="0.25">
      <c r="A259" s="236" t="s">
        <v>276</v>
      </c>
      <c r="B259" s="237"/>
      <c r="C259" s="237"/>
      <c r="D259" s="237"/>
      <c r="E259" s="237"/>
      <c r="F259" s="237"/>
      <c r="G259" s="237"/>
      <c r="H259" s="238"/>
    </row>
    <row r="260" spans="1:8" ht="13" x14ac:dyDescent="0.25">
      <c r="A260" s="335" t="s">
        <v>241</v>
      </c>
      <c r="B260" s="335"/>
      <c r="C260" s="9" t="str">
        <f>IF(A238="","",IF(D242="Yes",0,IF(B238="",0,IF(AND(D239="Infiltration Stormwater Planter",D241&lt;0.5),0,IF(D243="Yes",0,IF(D244="Yes",0,IF(AND(D239="Infiltration Stormwater Planter",D245&lt;2),0,IF(AND(D239="Infiltration Stormwater Planter",D246&lt;2),0,IF(D247&lt;3,0,IF(AND(D239="Filtration Stormwater Planter",D248&lt;10),0,IF(AND(D239="Infiltration Stormwater Planter",D248&lt;6),0,IF(E252&lt;1.5,0,IF(E252&gt;2.5,0,IF(E254&gt;0.5,0,IF(E257&lt;E256,0,IF(AND(D239="Filtration Stormwater Planter",E258*0.4&lt;=F238),E258*0.4,IF(AND(D239="Filtration Stormwater Planter",E258*0.4&gt;F238),F238,IF(D239="Infiltration Stormwater Planter",F238*1))))))))))))))))))</f>
        <v/>
      </c>
      <c r="D260" s="310" t="s">
        <v>2</v>
      </c>
      <c r="E260" s="311"/>
      <c r="F260" s="311"/>
      <c r="G260" s="311"/>
      <c r="H260" s="312"/>
    </row>
  </sheetData>
  <sheetProtection algorithmName="SHA-512" hashValue="oGDiK0w5mPJyJol2bwnJisNgG2ulHyos/ww6GS7bYwC2PuDBZmYIpATpI4Xqv3nPpjQ0xFR6b/586RjOBaBaFA==" saltValue="iVkZFFWU0oF9D5G1OMdKgw==" spinCount="100000" sheet="1" formatColumns="0" formatRows="0"/>
  <mergeCells count="416">
    <mergeCell ref="A260:B260"/>
    <mergeCell ref="D260:H260"/>
    <mergeCell ref="A255:C255"/>
    <mergeCell ref="E255:F255"/>
    <mergeCell ref="A256:C256"/>
    <mergeCell ref="E256:F256"/>
    <mergeCell ref="A257:C257"/>
    <mergeCell ref="E257:F257"/>
    <mergeCell ref="A258:C258"/>
    <mergeCell ref="E258:F258"/>
    <mergeCell ref="A259:H259"/>
    <mergeCell ref="E250:F250"/>
    <mergeCell ref="A251:C251"/>
    <mergeCell ref="E251:F251"/>
    <mergeCell ref="A252:C252"/>
    <mergeCell ref="E252:F252"/>
    <mergeCell ref="A253:C253"/>
    <mergeCell ref="E253:F253"/>
    <mergeCell ref="A254:C254"/>
    <mergeCell ref="E254:F254"/>
    <mergeCell ref="A245:C245"/>
    <mergeCell ref="E245:H245"/>
    <mergeCell ref="A246:C246"/>
    <mergeCell ref="E246:H246"/>
    <mergeCell ref="A247:C247"/>
    <mergeCell ref="E247:H247"/>
    <mergeCell ref="A248:C248"/>
    <mergeCell ref="E248:H248"/>
    <mergeCell ref="A249:H249"/>
    <mergeCell ref="A240:H240"/>
    <mergeCell ref="A241:C241"/>
    <mergeCell ref="E241:H241"/>
    <mergeCell ref="A242:C242"/>
    <mergeCell ref="E242:H242"/>
    <mergeCell ref="A243:C243"/>
    <mergeCell ref="E243:H243"/>
    <mergeCell ref="A244:C244"/>
    <mergeCell ref="E244:H244"/>
    <mergeCell ref="A231:C231"/>
    <mergeCell ref="E231:F231"/>
    <mergeCell ref="A232:C232"/>
    <mergeCell ref="E232:F232"/>
    <mergeCell ref="A233:H233"/>
    <mergeCell ref="A234:B234"/>
    <mergeCell ref="D234:H234"/>
    <mergeCell ref="A236:H236"/>
    <mergeCell ref="A239:C239"/>
    <mergeCell ref="D239:H239"/>
    <mergeCell ref="A226:C226"/>
    <mergeCell ref="E226:F226"/>
    <mergeCell ref="A227:C227"/>
    <mergeCell ref="E227:F227"/>
    <mergeCell ref="A228:C228"/>
    <mergeCell ref="E228:F228"/>
    <mergeCell ref="A229:C229"/>
    <mergeCell ref="E229:F229"/>
    <mergeCell ref="A230:C230"/>
    <mergeCell ref="E230:F230"/>
    <mergeCell ref="A220:C220"/>
    <mergeCell ref="E220:H220"/>
    <mergeCell ref="A221:C221"/>
    <mergeCell ref="E221:H221"/>
    <mergeCell ref="A222:C222"/>
    <mergeCell ref="E222:H222"/>
    <mergeCell ref="A223:H223"/>
    <mergeCell ref="E224:F224"/>
    <mergeCell ref="A225:C225"/>
    <mergeCell ref="E225:F225"/>
    <mergeCell ref="A215:C215"/>
    <mergeCell ref="E215:H215"/>
    <mergeCell ref="A216:C216"/>
    <mergeCell ref="E216:H216"/>
    <mergeCell ref="A217:C217"/>
    <mergeCell ref="E217:H217"/>
    <mergeCell ref="A218:C218"/>
    <mergeCell ref="E218:H218"/>
    <mergeCell ref="A219:C219"/>
    <mergeCell ref="E219:H219"/>
    <mergeCell ref="A206:C206"/>
    <mergeCell ref="E206:F206"/>
    <mergeCell ref="A207:H207"/>
    <mergeCell ref="A208:B208"/>
    <mergeCell ref="D208:H208"/>
    <mergeCell ref="A210:H210"/>
    <mergeCell ref="A213:C213"/>
    <mergeCell ref="D213:H213"/>
    <mergeCell ref="A214:H214"/>
    <mergeCell ref="A201:C201"/>
    <mergeCell ref="E201:F201"/>
    <mergeCell ref="A202:C202"/>
    <mergeCell ref="E202:F202"/>
    <mergeCell ref="A203:C203"/>
    <mergeCell ref="E203:F203"/>
    <mergeCell ref="A204:C204"/>
    <mergeCell ref="E204:F204"/>
    <mergeCell ref="A205:C205"/>
    <mergeCell ref="E205:F205"/>
    <mergeCell ref="A195:C195"/>
    <mergeCell ref="E195:H195"/>
    <mergeCell ref="A196:C196"/>
    <mergeCell ref="E196:H196"/>
    <mergeCell ref="A197:H197"/>
    <mergeCell ref="E198:F198"/>
    <mergeCell ref="A199:C199"/>
    <mergeCell ref="E199:F199"/>
    <mergeCell ref="A200:C200"/>
    <mergeCell ref="E200:F200"/>
    <mergeCell ref="A190:C190"/>
    <mergeCell ref="E190:H190"/>
    <mergeCell ref="A191:C191"/>
    <mergeCell ref="E191:H191"/>
    <mergeCell ref="A192:C192"/>
    <mergeCell ref="E192:H192"/>
    <mergeCell ref="A193:C193"/>
    <mergeCell ref="E193:H193"/>
    <mergeCell ref="A194:C194"/>
    <mergeCell ref="E194:H194"/>
    <mergeCell ref="A181:H181"/>
    <mergeCell ref="A182:B182"/>
    <mergeCell ref="D182:H182"/>
    <mergeCell ref="A184:H184"/>
    <mergeCell ref="A187:C187"/>
    <mergeCell ref="D187:H187"/>
    <mergeCell ref="A188:H188"/>
    <mergeCell ref="A189:C189"/>
    <mergeCell ref="E189:H189"/>
    <mergeCell ref="A176:C176"/>
    <mergeCell ref="E176:F176"/>
    <mergeCell ref="A177:C177"/>
    <mergeCell ref="E177:F177"/>
    <mergeCell ref="A178:C178"/>
    <mergeCell ref="E178:F178"/>
    <mergeCell ref="A179:C179"/>
    <mergeCell ref="E179:F179"/>
    <mergeCell ref="A180:C180"/>
    <mergeCell ref="E180:F180"/>
    <mergeCell ref="A170:C170"/>
    <mergeCell ref="E170:H170"/>
    <mergeCell ref="A171:H171"/>
    <mergeCell ref="E172:F172"/>
    <mergeCell ref="A173:C173"/>
    <mergeCell ref="E173:F173"/>
    <mergeCell ref="A174:C174"/>
    <mergeCell ref="E174:F174"/>
    <mergeCell ref="A175:C175"/>
    <mergeCell ref="E175:F175"/>
    <mergeCell ref="A165:C165"/>
    <mergeCell ref="E165:H165"/>
    <mergeCell ref="A166:C166"/>
    <mergeCell ref="E166:H166"/>
    <mergeCell ref="A167:C167"/>
    <mergeCell ref="E167:H167"/>
    <mergeCell ref="A168:C168"/>
    <mergeCell ref="E168:H168"/>
    <mergeCell ref="A169:C169"/>
    <mergeCell ref="E169:H169"/>
    <mergeCell ref="A156:B156"/>
    <mergeCell ref="D156:H156"/>
    <mergeCell ref="A158:H158"/>
    <mergeCell ref="A161:C161"/>
    <mergeCell ref="D161:H161"/>
    <mergeCell ref="A162:H162"/>
    <mergeCell ref="A163:C163"/>
    <mergeCell ref="E163:H163"/>
    <mergeCell ref="A164:C164"/>
    <mergeCell ref="E164:H164"/>
    <mergeCell ref="A151:C151"/>
    <mergeCell ref="E151:F151"/>
    <mergeCell ref="A152:C152"/>
    <mergeCell ref="E152:F152"/>
    <mergeCell ref="A153:C153"/>
    <mergeCell ref="E153:F153"/>
    <mergeCell ref="A154:C154"/>
    <mergeCell ref="E154:F154"/>
    <mergeCell ref="A155:H155"/>
    <mergeCell ref="A145:H145"/>
    <mergeCell ref="E146:F146"/>
    <mergeCell ref="A147:C147"/>
    <mergeCell ref="E147:F147"/>
    <mergeCell ref="A148:C148"/>
    <mergeCell ref="E148:F148"/>
    <mergeCell ref="A149:C149"/>
    <mergeCell ref="E149:F149"/>
    <mergeCell ref="A150:C150"/>
    <mergeCell ref="E150:F150"/>
    <mergeCell ref="A140:C140"/>
    <mergeCell ref="E140:H140"/>
    <mergeCell ref="A141:C141"/>
    <mergeCell ref="E141:H141"/>
    <mergeCell ref="A142:C142"/>
    <mergeCell ref="E142:H142"/>
    <mergeCell ref="A143:C143"/>
    <mergeCell ref="E143:H143"/>
    <mergeCell ref="A144:C144"/>
    <mergeCell ref="E144:H144"/>
    <mergeCell ref="A132:H132"/>
    <mergeCell ref="A135:C135"/>
    <mergeCell ref="D135:H135"/>
    <mergeCell ref="A136:H136"/>
    <mergeCell ref="A137:C137"/>
    <mergeCell ref="E137:H137"/>
    <mergeCell ref="A138:C138"/>
    <mergeCell ref="E138:H138"/>
    <mergeCell ref="A139:C139"/>
    <mergeCell ref="E139:H139"/>
    <mergeCell ref="A128:C128"/>
    <mergeCell ref="E128:F128"/>
    <mergeCell ref="A121:C121"/>
    <mergeCell ref="E120:F120"/>
    <mergeCell ref="A119:H119"/>
    <mergeCell ref="A106:H106"/>
    <mergeCell ref="E111:H111"/>
    <mergeCell ref="A111:C111"/>
    <mergeCell ref="A110:H110"/>
    <mergeCell ref="D109:H109"/>
    <mergeCell ref="A109:C109"/>
    <mergeCell ref="E115:H115"/>
    <mergeCell ref="A115:C115"/>
    <mergeCell ref="E114:H114"/>
    <mergeCell ref="A114:C114"/>
    <mergeCell ref="E113:H113"/>
    <mergeCell ref="A113:C113"/>
    <mergeCell ref="A112:C112"/>
    <mergeCell ref="E112:H112"/>
    <mergeCell ref="A104:B104"/>
    <mergeCell ref="D104:H104"/>
    <mergeCell ref="D130:H130"/>
    <mergeCell ref="A130:B130"/>
    <mergeCell ref="A129:H129"/>
    <mergeCell ref="E127:F127"/>
    <mergeCell ref="A127:C127"/>
    <mergeCell ref="E126:F126"/>
    <mergeCell ref="A126:C126"/>
    <mergeCell ref="E125:F125"/>
    <mergeCell ref="A125:C125"/>
    <mergeCell ref="E124:F124"/>
    <mergeCell ref="A124:C124"/>
    <mergeCell ref="E123:F123"/>
    <mergeCell ref="A123:C123"/>
    <mergeCell ref="E122:F122"/>
    <mergeCell ref="E118:H118"/>
    <mergeCell ref="A118:C118"/>
    <mergeCell ref="E117:H117"/>
    <mergeCell ref="A117:C117"/>
    <mergeCell ref="E116:H116"/>
    <mergeCell ref="A116:C116"/>
    <mergeCell ref="A122:C122"/>
    <mergeCell ref="E121:F121"/>
    <mergeCell ref="A100:C100"/>
    <mergeCell ref="E100:F100"/>
    <mergeCell ref="A101:C101"/>
    <mergeCell ref="E101:F101"/>
    <mergeCell ref="A103:H103"/>
    <mergeCell ref="A97:C97"/>
    <mergeCell ref="E97:F97"/>
    <mergeCell ref="A98:C98"/>
    <mergeCell ref="E98:F98"/>
    <mergeCell ref="A99:C99"/>
    <mergeCell ref="E99:F99"/>
    <mergeCell ref="A102:C102"/>
    <mergeCell ref="E102:F102"/>
    <mergeCell ref="E94:F94"/>
    <mergeCell ref="A95:C95"/>
    <mergeCell ref="E95:F95"/>
    <mergeCell ref="A96:C96"/>
    <mergeCell ref="E96:F96"/>
    <mergeCell ref="A91:C91"/>
    <mergeCell ref="E91:H91"/>
    <mergeCell ref="A92:C92"/>
    <mergeCell ref="E92:H92"/>
    <mergeCell ref="A93:H93"/>
    <mergeCell ref="A88:C88"/>
    <mergeCell ref="E88:H88"/>
    <mergeCell ref="A89:C89"/>
    <mergeCell ref="E89:H89"/>
    <mergeCell ref="A90:C90"/>
    <mergeCell ref="E90:H90"/>
    <mergeCell ref="A84:H84"/>
    <mergeCell ref="A85:C85"/>
    <mergeCell ref="E85:H85"/>
    <mergeCell ref="A87:C87"/>
    <mergeCell ref="E87:H87"/>
    <mergeCell ref="A86:C86"/>
    <mergeCell ref="E86:H86"/>
    <mergeCell ref="A78:B78"/>
    <mergeCell ref="D78:H78"/>
    <mergeCell ref="A80:H80"/>
    <mergeCell ref="A83:C83"/>
    <mergeCell ref="D83:H83"/>
    <mergeCell ref="A74:C74"/>
    <mergeCell ref="E74:F74"/>
    <mergeCell ref="A75:C75"/>
    <mergeCell ref="E75:F75"/>
    <mergeCell ref="A77:H77"/>
    <mergeCell ref="A76:C76"/>
    <mergeCell ref="E76:F76"/>
    <mergeCell ref="A71:C71"/>
    <mergeCell ref="E71:F71"/>
    <mergeCell ref="A72:C72"/>
    <mergeCell ref="E72:F72"/>
    <mergeCell ref="A73:C73"/>
    <mergeCell ref="E73:F73"/>
    <mergeCell ref="E68:F68"/>
    <mergeCell ref="A69:C69"/>
    <mergeCell ref="E69:F69"/>
    <mergeCell ref="A70:C70"/>
    <mergeCell ref="E70:F70"/>
    <mergeCell ref="A65:C65"/>
    <mergeCell ref="E65:H65"/>
    <mergeCell ref="A66:C66"/>
    <mergeCell ref="E66:H66"/>
    <mergeCell ref="A67:H67"/>
    <mergeCell ref="A62:C62"/>
    <mergeCell ref="E62:H62"/>
    <mergeCell ref="A63:C63"/>
    <mergeCell ref="E63:H63"/>
    <mergeCell ref="A64:C64"/>
    <mergeCell ref="E64:H64"/>
    <mergeCell ref="A58:H58"/>
    <mergeCell ref="A59:C59"/>
    <mergeCell ref="E59:H59"/>
    <mergeCell ref="A61:C61"/>
    <mergeCell ref="E61:H61"/>
    <mergeCell ref="A52:B52"/>
    <mergeCell ref="D52:H52"/>
    <mergeCell ref="A54:H54"/>
    <mergeCell ref="A57:C57"/>
    <mergeCell ref="D57:H57"/>
    <mergeCell ref="A60:C60"/>
    <mergeCell ref="E60:H60"/>
    <mergeCell ref="A48:C48"/>
    <mergeCell ref="E48:F48"/>
    <mergeCell ref="A49:C49"/>
    <mergeCell ref="E49:F49"/>
    <mergeCell ref="A51:H51"/>
    <mergeCell ref="A45:C45"/>
    <mergeCell ref="E45:F45"/>
    <mergeCell ref="A46:C46"/>
    <mergeCell ref="E46:F46"/>
    <mergeCell ref="A47:C47"/>
    <mergeCell ref="E47:F47"/>
    <mergeCell ref="A50:C50"/>
    <mergeCell ref="E50:F50"/>
    <mergeCell ref="A41:H41"/>
    <mergeCell ref="E42:F42"/>
    <mergeCell ref="A43:C43"/>
    <mergeCell ref="E43:F43"/>
    <mergeCell ref="A44:C44"/>
    <mergeCell ref="E44:F44"/>
    <mergeCell ref="A38:C38"/>
    <mergeCell ref="E38:H38"/>
    <mergeCell ref="A39:C39"/>
    <mergeCell ref="E39:H39"/>
    <mergeCell ref="A40:C40"/>
    <mergeCell ref="E40:H40"/>
    <mergeCell ref="A35:C35"/>
    <mergeCell ref="E35:H35"/>
    <mergeCell ref="A36:C36"/>
    <mergeCell ref="E36:H36"/>
    <mergeCell ref="A37:C37"/>
    <mergeCell ref="E37:H37"/>
    <mergeCell ref="A28:H28"/>
    <mergeCell ref="A31:C31"/>
    <mergeCell ref="D31:H31"/>
    <mergeCell ref="A32:H32"/>
    <mergeCell ref="A33:C33"/>
    <mergeCell ref="E33:H33"/>
    <mergeCell ref="A34:C34"/>
    <mergeCell ref="E34:H34"/>
    <mergeCell ref="I2:J2"/>
    <mergeCell ref="K2:L2"/>
    <mergeCell ref="I3:J3"/>
    <mergeCell ref="K3:L3"/>
    <mergeCell ref="I4:J4"/>
    <mergeCell ref="K4:L4"/>
    <mergeCell ref="A9:C9"/>
    <mergeCell ref="E9:H9"/>
    <mergeCell ref="A2:H2"/>
    <mergeCell ref="A5:C5"/>
    <mergeCell ref="D5:H5"/>
    <mergeCell ref="A6:H6"/>
    <mergeCell ref="A7:C7"/>
    <mergeCell ref="E7:H7"/>
    <mergeCell ref="A8:C8"/>
    <mergeCell ref="E8:H8"/>
    <mergeCell ref="E16:F16"/>
    <mergeCell ref="A10:C10"/>
    <mergeCell ref="E10:H10"/>
    <mergeCell ref="A11:C11"/>
    <mergeCell ref="E11:H11"/>
    <mergeCell ref="A12:C12"/>
    <mergeCell ref="E12:H12"/>
    <mergeCell ref="A13:C13"/>
    <mergeCell ref="E13:H13"/>
    <mergeCell ref="A14:C14"/>
    <mergeCell ref="E14:H14"/>
    <mergeCell ref="A15:H15"/>
    <mergeCell ref="A22:C22"/>
    <mergeCell ref="E22:F22"/>
    <mergeCell ref="A23:C23"/>
    <mergeCell ref="E23:F23"/>
    <mergeCell ref="A25:H25"/>
    <mergeCell ref="A26:B26"/>
    <mergeCell ref="D26:H26"/>
    <mergeCell ref="A17:C17"/>
    <mergeCell ref="E17:F17"/>
    <mergeCell ref="A18:C18"/>
    <mergeCell ref="E18:F18"/>
    <mergeCell ref="A19:C19"/>
    <mergeCell ref="E19:F19"/>
    <mergeCell ref="A20:C20"/>
    <mergeCell ref="E20:F20"/>
    <mergeCell ref="A21:C21"/>
    <mergeCell ref="E21:F21"/>
    <mergeCell ref="A24:C24"/>
    <mergeCell ref="E24:F24"/>
  </mergeCells>
  <dataValidations count="3">
    <dataValidation type="list" showInputMessage="1" showErrorMessage="1" promptTitle="Yes or No?" sqref="D10 D88 D36 D62 D114 D8 D34 D60 D86 D112 D140 D138 D166 D164 D192 D190 D218 D216 D244 D242" xr:uid="{25DC063B-B037-4CBA-ABA0-4FE0E5AD0E54}">
      <formula1>YesNo</formula1>
    </dataValidation>
    <dataValidation type="list" showInputMessage="1" showErrorMessage="1" promptTitle="Choose Area" sqref="A4 A82 A30 A56 A108 A134 A160 A186 A212 A238" xr:uid="{B47B5FEC-1F73-408B-8F0D-B0276B14075F}">
      <formula1>CatchNo</formula1>
    </dataValidation>
    <dataValidation type="decimal" operator="greaterThan" allowBlank="1" showInputMessage="1" showErrorMessage="1" sqref="D11:D14 D7 E18:F18 E20:F20 E23:F23 D37:D40 D33 E44:F44 E46:F46 E49:F49 D63:D66 D59 E75:F75 E72:F72 E70:F70 D89:D92 D85 E96:F96 E98:F98 E101:F101 D115:D118 D111 E127:F127 E124:F124 E122:F122 D141:D144 D137 E153:F153 E150:F150 E148:F148 D167:D170 D163 E179:F179 E176:F176 E174:F174 D193:D196 D189 E205:F205 E202:F202 E200:F200 D219:D222 D215 E231:F231 E228:F228 E226:F226 D245:D248 D241 E257:F257 E254:F254 E252:F252" xr:uid="{5ED5B023-24B0-499B-8D87-0955DCA3BDBC}">
      <formula1>0</formula1>
    </dataValidation>
  </dataValidations>
  <pageMargins left="0.5" right="0.5" top="0.75" bottom="0.5" header="0.3" footer="0.3"/>
  <pageSetup paperSize="278" orientation="portrait" r:id="rId1"/>
  <headerFooter>
    <oddHeader>&amp;C&amp;"Arial,Regular"&amp;18Stormwater Planter (RR-7)</oddHeader>
  </headerFooter>
  <rowBreaks count="10" manualBreakCount="10">
    <brk id="26" max="16383" man="1"/>
    <brk id="52" max="16383" man="1"/>
    <brk id="78" max="16383" man="1"/>
    <brk id="104" max="16383" man="1"/>
    <brk id="130" max="16383" man="1"/>
    <brk id="156" max="16383" man="1"/>
    <brk id="182" max="16383" man="1"/>
    <brk id="208" max="16383" man="1"/>
    <brk id="234" max="16383" man="1"/>
    <brk id="260" max="16383" man="1"/>
  </rowBreaks>
  <extLst>
    <ext xmlns:x14="http://schemas.microsoft.com/office/spreadsheetml/2009/9/main" uri="{CCE6A557-97BC-4b89-ADB6-D9C93CAAB3DF}">
      <x14:dataValidations xmlns:xm="http://schemas.microsoft.com/office/excel/2006/main" count="1">
        <x14:dataValidation type="list" showInputMessage="1" showErrorMessage="1" promptTitle="Yes or No?" xr:uid="{114409BC-6151-4DE2-A91F-C51DC7614DEB}">
          <x14:formula1>
            <xm:f>Reference!$A$8:$A$9</xm:f>
          </x14:formula1>
          <xm:sqref>D5:H5 D83:H83 D31:H31 D57:H57 D109:H109 D135:H135 D161:H161 D187:H187 D213:H213 D239:H239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M130"/>
  <sheetViews>
    <sheetView view="pageLayout" zoomScaleNormal="100" workbookViewId="0">
      <selection activeCell="J8" sqref="J8"/>
    </sheetView>
  </sheetViews>
  <sheetFormatPr defaultColWidth="9.1796875" defaultRowHeight="12.5" x14ac:dyDescent="0.25"/>
  <cols>
    <col min="1" max="1" width="12.7265625" style="4" customWidth="1"/>
    <col min="2" max="2" width="12" style="4" customWidth="1"/>
    <col min="3" max="3" width="11.453125" style="4" customWidth="1"/>
    <col min="4" max="4" width="10.7265625" style="4" customWidth="1"/>
    <col min="5" max="6" width="7.54296875" style="4" customWidth="1"/>
    <col min="7" max="7" width="12.26953125" style="4" customWidth="1"/>
    <col min="8" max="8" width="17.81640625" style="4" customWidth="1"/>
    <col min="9" max="16384" width="9.1796875" style="4"/>
  </cols>
  <sheetData>
    <row r="1" spans="1:13" ht="15" customHeight="1" x14ac:dyDescent="0.3">
      <c r="A1" s="24" t="s">
        <v>56</v>
      </c>
      <c r="B1" s="23" t="str">
        <f>IF('STEP 2-WQv Calculation'!$B$4="","",'STEP 2-WQv Calculation'!$B$4)</f>
        <v/>
      </c>
    </row>
    <row r="2" spans="1:13" ht="15" customHeight="1" x14ac:dyDescent="0.3">
      <c r="A2" s="246" t="s">
        <v>293</v>
      </c>
      <c r="B2" s="381"/>
      <c r="C2" s="381"/>
      <c r="D2" s="381"/>
      <c r="E2" s="381"/>
      <c r="F2" s="381"/>
      <c r="G2" s="381"/>
      <c r="H2" s="382"/>
      <c r="I2" s="255" t="s">
        <v>219</v>
      </c>
      <c r="J2" s="256"/>
      <c r="K2" s="49">
        <f>SUM(B4,B17,B30,B43,B56,B69,B82,B95,B108,B121)</f>
        <v>0</v>
      </c>
      <c r="L2" s="12" t="s">
        <v>223</v>
      </c>
    </row>
    <row r="3" spans="1:13" ht="46.75" customHeight="1" x14ac:dyDescent="0.25">
      <c r="A3" s="204" t="s">
        <v>60</v>
      </c>
      <c r="B3" s="205" t="s">
        <v>61</v>
      </c>
      <c r="C3" s="205" t="s">
        <v>62</v>
      </c>
      <c r="D3" s="205" t="s">
        <v>63</v>
      </c>
      <c r="E3" s="205" t="s">
        <v>64</v>
      </c>
      <c r="F3" s="205" t="s">
        <v>65</v>
      </c>
      <c r="G3" s="205" t="s">
        <v>244</v>
      </c>
      <c r="H3" s="206" t="s">
        <v>13</v>
      </c>
      <c r="I3" s="255" t="s">
        <v>245</v>
      </c>
      <c r="J3" s="256"/>
      <c r="K3" s="21">
        <f>SUM(C4,C17,C30,C43,C56,C69,C82,C95,C108,C121)</f>
        <v>0</v>
      </c>
      <c r="L3" s="12" t="s">
        <v>223</v>
      </c>
    </row>
    <row r="4" spans="1:13" ht="30.2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8">
        <f>SUM(D13,D26,D39,D52,D65,D78,D91,D104,D117,D130)</f>
        <v>0</v>
      </c>
      <c r="L4" s="12" t="s">
        <v>2</v>
      </c>
    </row>
    <row r="5" spans="1:13" ht="15" customHeight="1" x14ac:dyDescent="0.3">
      <c r="A5" s="273" t="s">
        <v>232</v>
      </c>
      <c r="B5" s="273"/>
      <c r="C5" s="273"/>
      <c r="D5" s="273"/>
      <c r="E5" s="273"/>
      <c r="F5" s="273"/>
      <c r="G5" s="273"/>
      <c r="H5" s="273"/>
    </row>
    <row r="6" spans="1:13" s="34" customFormat="1" ht="15" customHeight="1" x14ac:dyDescent="0.3">
      <c r="A6" s="378"/>
      <c r="B6" s="379"/>
      <c r="C6" s="380"/>
      <c r="D6" s="208" t="s">
        <v>256</v>
      </c>
      <c r="E6" s="141" t="s">
        <v>257</v>
      </c>
      <c r="F6" s="375" t="s">
        <v>258</v>
      </c>
      <c r="G6" s="376"/>
      <c r="H6" s="377"/>
      <c r="I6" s="4"/>
      <c r="J6" s="4"/>
      <c r="K6" s="4"/>
      <c r="L6" s="4"/>
      <c r="M6" s="4"/>
    </row>
    <row r="7" spans="1:13" ht="15" customHeight="1" x14ac:dyDescent="0.25">
      <c r="A7" s="265" t="s">
        <v>390</v>
      </c>
      <c r="B7" s="265"/>
      <c r="C7" s="265"/>
      <c r="D7" s="191" t="str">
        <f>IF(F4="","",F4*7.5)</f>
        <v/>
      </c>
      <c r="E7" s="192" t="s">
        <v>391</v>
      </c>
      <c r="F7" s="344"/>
      <c r="G7" s="344"/>
      <c r="H7" s="344"/>
    </row>
    <row r="8" spans="1:13" ht="27" customHeight="1" x14ac:dyDescent="0.3">
      <c r="A8" s="265" t="s">
        <v>392</v>
      </c>
      <c r="B8" s="265"/>
      <c r="C8" s="265"/>
      <c r="D8" s="25"/>
      <c r="E8" s="192"/>
      <c r="F8" s="372"/>
      <c r="G8" s="373"/>
      <c r="H8" s="374"/>
    </row>
    <row r="9" spans="1:13" ht="27" customHeight="1" x14ac:dyDescent="0.3">
      <c r="A9" s="265" t="s">
        <v>393</v>
      </c>
      <c r="B9" s="265"/>
      <c r="C9" s="265"/>
      <c r="D9" s="26"/>
      <c r="E9" s="192" t="s">
        <v>391</v>
      </c>
      <c r="F9" s="372"/>
      <c r="G9" s="373"/>
      <c r="H9" s="374"/>
    </row>
    <row r="10" spans="1:13" ht="15" customHeight="1" x14ac:dyDescent="0.3">
      <c r="A10" s="265" t="s">
        <v>394</v>
      </c>
      <c r="B10" s="265"/>
      <c r="C10" s="265"/>
      <c r="D10" s="142">
        <f>D8*D9</f>
        <v>0</v>
      </c>
      <c r="E10" s="192" t="s">
        <v>391</v>
      </c>
      <c r="F10" s="384" t="str">
        <f>IF(D10=0,"",IF(D10&lt;D7,"Does not meet sizing criteria",""))</f>
        <v/>
      </c>
      <c r="G10" s="385"/>
      <c r="H10" s="386"/>
    </row>
    <row r="11" spans="1:13" ht="15" customHeight="1" x14ac:dyDescent="0.25">
      <c r="A11" s="383"/>
      <c r="B11" s="383"/>
      <c r="C11" s="383"/>
      <c r="D11" s="383"/>
      <c r="E11" s="383"/>
      <c r="F11" s="383"/>
      <c r="G11" s="383"/>
      <c r="H11" s="383"/>
    </row>
    <row r="12" spans="1:13" ht="15" customHeight="1" x14ac:dyDescent="0.3">
      <c r="A12" s="273" t="s">
        <v>372</v>
      </c>
      <c r="B12" s="273"/>
      <c r="C12" s="273"/>
      <c r="D12" s="273"/>
      <c r="E12" s="273"/>
      <c r="F12" s="273"/>
      <c r="G12" s="273"/>
      <c r="H12" s="273"/>
    </row>
    <row r="13" spans="1:13" ht="30" customHeight="1" x14ac:dyDescent="0.25">
      <c r="A13" s="335" t="s">
        <v>241</v>
      </c>
      <c r="B13" s="335"/>
      <c r="C13" s="335"/>
      <c r="D13" s="143">
        <f>IF(B4="",0,IF(D10&lt;D7,0,IF(D10&gt;D7,F4*1)))</f>
        <v>0</v>
      </c>
      <c r="E13" s="310" t="s">
        <v>2</v>
      </c>
      <c r="F13" s="311"/>
      <c r="G13" s="311"/>
      <c r="H13" s="312"/>
    </row>
    <row r="14" spans="1:13" ht="13" x14ac:dyDescent="0.3">
      <c r="A14" s="24" t="s">
        <v>56</v>
      </c>
      <c r="B14" s="23" t="str">
        <f>IF('STEP 2-WQv Calculation'!$B$4="","",'STEP 2-WQv Calculation'!$B$4)</f>
        <v/>
      </c>
    </row>
    <row r="15" spans="1:13" ht="13.15" customHeight="1" x14ac:dyDescent="0.3">
      <c r="A15" s="246" t="s">
        <v>293</v>
      </c>
      <c r="B15" s="381"/>
      <c r="C15" s="381"/>
      <c r="D15" s="381"/>
      <c r="E15" s="381"/>
      <c r="F15" s="381"/>
      <c r="G15" s="381"/>
      <c r="H15" s="382"/>
    </row>
    <row r="16" spans="1:13" ht="38.5" x14ac:dyDescent="0.25">
      <c r="A16" s="204" t="s">
        <v>60</v>
      </c>
      <c r="B16" s="205" t="s">
        <v>61</v>
      </c>
      <c r="C16" s="205" t="s">
        <v>62</v>
      </c>
      <c r="D16" s="205" t="s">
        <v>63</v>
      </c>
      <c r="E16" s="205" t="s">
        <v>64</v>
      </c>
      <c r="F16" s="205" t="s">
        <v>65</v>
      </c>
      <c r="G16" s="205" t="s">
        <v>244</v>
      </c>
      <c r="H16" s="206" t="s">
        <v>13</v>
      </c>
    </row>
    <row r="17" spans="1:8" x14ac:dyDescent="0.25">
      <c r="A17" s="17"/>
      <c r="B17" s="18" t="str">
        <f>IF($A17="","",(LOOKUP($A17,'STEP 2-WQv Calculation'!$A$8:$A$37,'STEP 2-WQv Calculation'!$B$8:$B$37)))</f>
        <v/>
      </c>
      <c r="C17" s="18" t="str">
        <f>IF($A17="","",(LOOKUP($A17,'STEP 2-WQv Calculation'!$A$8:$A$37,'STEP 2-WQv Calculation'!$C$8:$C$37)))</f>
        <v/>
      </c>
      <c r="D17" s="53" t="str">
        <f>IF($A17="","",(LOOKUP($A17,'STEP 2-WQv Calculation'!$A$8:$A$37,'STEP 2-WQv Calculation'!$D$8:$D$37)))</f>
        <v/>
      </c>
      <c r="E17" s="18" t="str">
        <f>IF($A17="","",(LOOKUP($A17,'STEP 2-WQv Calculation'!$A$8:$A$37,'STEP 2-WQv Calculation'!$E$8:$E$37)))</f>
        <v/>
      </c>
      <c r="F17" s="42" t="str">
        <f>IF($A17="","",(LOOKUP($A17,'STEP 2-WQv Calculation'!$A$8:$A$37,'STEP 2-WQv Calculation'!$F$8:$F$37)))</f>
        <v/>
      </c>
      <c r="G17" s="18">
        <f>'STEP 2-WQv Calculation'!B5</f>
        <v>0</v>
      </c>
      <c r="H17" s="29" t="str">
        <f>IF($A17="","",(LOOKUP($A17,'STEP 2-WQv Calculation'!$A$8:$A$37,'STEP 2-WQv Calculation'!$G$8:$G$37)))</f>
        <v/>
      </c>
    </row>
    <row r="18" spans="1:8" ht="13.15" customHeight="1" x14ac:dyDescent="0.3">
      <c r="A18" s="273" t="s">
        <v>232</v>
      </c>
      <c r="B18" s="273"/>
      <c r="C18" s="273"/>
      <c r="D18" s="273"/>
      <c r="E18" s="273"/>
      <c r="F18" s="273"/>
      <c r="G18" s="273"/>
      <c r="H18" s="273"/>
    </row>
    <row r="19" spans="1:8" x14ac:dyDescent="0.25">
      <c r="A19" s="378"/>
      <c r="B19" s="379"/>
      <c r="C19" s="380"/>
      <c r="D19" s="208" t="s">
        <v>256</v>
      </c>
      <c r="E19" s="141" t="s">
        <v>257</v>
      </c>
      <c r="F19" s="375" t="s">
        <v>258</v>
      </c>
      <c r="G19" s="376"/>
      <c r="H19" s="377"/>
    </row>
    <row r="20" spans="1:8" ht="13.15" customHeight="1" x14ac:dyDescent="0.25">
      <c r="A20" s="265" t="s">
        <v>395</v>
      </c>
      <c r="B20" s="265"/>
      <c r="C20" s="265"/>
      <c r="D20" s="191" t="str">
        <f>IF(F17="","",F17*7.5)</f>
        <v/>
      </c>
      <c r="E20" s="192" t="s">
        <v>391</v>
      </c>
      <c r="F20" s="344"/>
      <c r="G20" s="344"/>
      <c r="H20" s="344"/>
    </row>
    <row r="21" spans="1:8" ht="24.75" customHeight="1" x14ac:dyDescent="0.3">
      <c r="A21" s="265" t="s">
        <v>392</v>
      </c>
      <c r="B21" s="265"/>
      <c r="C21" s="265"/>
      <c r="D21" s="25"/>
      <c r="E21" s="192"/>
      <c r="F21" s="372"/>
      <c r="G21" s="373"/>
      <c r="H21" s="374"/>
    </row>
    <row r="22" spans="1:8" ht="25.5" customHeight="1" x14ac:dyDescent="0.3">
      <c r="A22" s="265" t="s">
        <v>393</v>
      </c>
      <c r="B22" s="265"/>
      <c r="C22" s="265"/>
      <c r="D22" s="26"/>
      <c r="E22" s="192" t="s">
        <v>391</v>
      </c>
      <c r="F22" s="372"/>
      <c r="G22" s="373"/>
      <c r="H22" s="374"/>
    </row>
    <row r="23" spans="1:8" ht="13.15" customHeight="1" x14ac:dyDescent="0.3">
      <c r="A23" s="265" t="s">
        <v>394</v>
      </c>
      <c r="B23" s="265"/>
      <c r="C23" s="265"/>
      <c r="D23" s="142">
        <f>D21*D22</f>
        <v>0</v>
      </c>
      <c r="E23" s="192" t="s">
        <v>391</v>
      </c>
      <c r="F23" s="384" t="str">
        <f>IF(D23=0,"",IF(D23&lt;D20,"Does not meet sizing criteria",""))</f>
        <v/>
      </c>
      <c r="G23" s="385"/>
      <c r="H23" s="386"/>
    </row>
    <row r="24" spans="1:8" x14ac:dyDescent="0.25">
      <c r="A24" s="383"/>
      <c r="B24" s="383"/>
      <c r="C24" s="383"/>
      <c r="D24" s="383"/>
      <c r="E24" s="383"/>
      <c r="F24" s="383"/>
      <c r="G24" s="383"/>
      <c r="H24" s="383"/>
    </row>
    <row r="25" spans="1:8" ht="13.15" customHeight="1" x14ac:dyDescent="0.3">
      <c r="A25" s="273" t="s">
        <v>372</v>
      </c>
      <c r="B25" s="273"/>
      <c r="C25" s="273"/>
      <c r="D25" s="273"/>
      <c r="E25" s="273"/>
      <c r="F25" s="273"/>
      <c r="G25" s="273"/>
      <c r="H25" s="273"/>
    </row>
    <row r="26" spans="1:8" ht="13.15" customHeight="1" x14ac:dyDescent="0.25">
      <c r="A26" s="335" t="s">
        <v>241</v>
      </c>
      <c r="B26" s="335"/>
      <c r="C26" s="335"/>
      <c r="D26" s="143">
        <f>IF(B17="",0,IF(D23&lt;D20,0,IF(D23&gt;D20,F17*1)))</f>
        <v>0</v>
      </c>
      <c r="E26" s="310" t="s">
        <v>2</v>
      </c>
      <c r="F26" s="311"/>
      <c r="G26" s="311"/>
      <c r="H26" s="312"/>
    </row>
    <row r="27" spans="1:8" ht="13" x14ac:dyDescent="0.3">
      <c r="A27" s="24" t="s">
        <v>56</v>
      </c>
      <c r="B27" s="23" t="str">
        <f>IF('STEP 2-WQv Calculation'!$B$4="","",'STEP 2-WQv Calculation'!$B$4)</f>
        <v/>
      </c>
    </row>
    <row r="28" spans="1:8" ht="13.15" customHeight="1" x14ac:dyDescent="0.3">
      <c r="A28" s="246" t="s">
        <v>293</v>
      </c>
      <c r="B28" s="381"/>
      <c r="C28" s="381"/>
      <c r="D28" s="381"/>
      <c r="E28" s="381"/>
      <c r="F28" s="381"/>
      <c r="G28" s="381"/>
      <c r="H28" s="382"/>
    </row>
    <row r="29" spans="1:8" ht="38.5" x14ac:dyDescent="0.25">
      <c r="A29" s="204" t="s">
        <v>60</v>
      </c>
      <c r="B29" s="205" t="s">
        <v>61</v>
      </c>
      <c r="C29" s="205" t="s">
        <v>62</v>
      </c>
      <c r="D29" s="205" t="s">
        <v>63</v>
      </c>
      <c r="E29" s="205" t="s">
        <v>64</v>
      </c>
      <c r="F29" s="205" t="s">
        <v>65</v>
      </c>
      <c r="G29" s="205" t="s">
        <v>244</v>
      </c>
      <c r="H29" s="206" t="s">
        <v>13</v>
      </c>
    </row>
    <row r="30" spans="1:8" x14ac:dyDescent="0.25">
      <c r="A30" s="17"/>
      <c r="B30" s="18" t="str">
        <f>IF($A30="","",(LOOKUP($A30,'STEP 2-WQv Calculation'!$A$8:$A$37,'STEP 2-WQv Calculation'!$B$8:$B$37)))</f>
        <v/>
      </c>
      <c r="C30" s="18" t="str">
        <f>IF($A30="","",(LOOKUP($A30,'STEP 2-WQv Calculation'!$A$8:$A$37,'STEP 2-WQv Calculation'!$C$8:$C$37)))</f>
        <v/>
      </c>
      <c r="D30" s="53" t="str">
        <f>IF($A30="","",(LOOKUP($A30,'STEP 2-WQv Calculation'!$A$8:$A$37,'STEP 2-WQv Calculation'!$D$8:$D$37)))</f>
        <v/>
      </c>
      <c r="E30" s="18" t="str">
        <f>IF($A30="","",(LOOKUP($A30,'STEP 2-WQv Calculation'!$A$8:$A$37,'STEP 2-WQv Calculation'!$E$8:$E$37)))</f>
        <v/>
      </c>
      <c r="F30" s="42" t="str">
        <f>IF($A30="","",(LOOKUP($A30,'STEP 2-WQv Calculation'!$A$8:$A$37,'STEP 2-WQv Calculation'!$F$8:$F$37)))</f>
        <v/>
      </c>
      <c r="G30" s="18">
        <f>'STEP 2-WQv Calculation'!B5</f>
        <v>0</v>
      </c>
      <c r="H30" s="29" t="str">
        <f>IF($A30="","",(LOOKUP($A30,'STEP 2-WQv Calculation'!$A$8:$A$37,'STEP 2-WQv Calculation'!$G$8:$G$37)))</f>
        <v/>
      </c>
    </row>
    <row r="31" spans="1:8" ht="27.75" customHeight="1" x14ac:dyDescent="0.3">
      <c r="A31" s="273" t="s">
        <v>232</v>
      </c>
      <c r="B31" s="273"/>
      <c r="C31" s="273"/>
      <c r="D31" s="273"/>
      <c r="E31" s="273"/>
      <c r="F31" s="273"/>
      <c r="G31" s="273"/>
      <c r="H31" s="273"/>
    </row>
    <row r="32" spans="1:8" x14ac:dyDescent="0.25">
      <c r="A32" s="378"/>
      <c r="B32" s="379"/>
      <c r="C32" s="380"/>
      <c r="D32" s="208" t="s">
        <v>256</v>
      </c>
      <c r="E32" s="141" t="s">
        <v>257</v>
      </c>
      <c r="F32" s="375" t="s">
        <v>258</v>
      </c>
      <c r="G32" s="376"/>
      <c r="H32" s="377"/>
    </row>
    <row r="33" spans="1:8" ht="13.15" customHeight="1" x14ac:dyDescent="0.25">
      <c r="A33" s="265" t="s">
        <v>395</v>
      </c>
      <c r="B33" s="265"/>
      <c r="C33" s="265"/>
      <c r="D33" s="191" t="str">
        <f>IF(F30="","",F30*7.5)</f>
        <v/>
      </c>
      <c r="E33" s="192" t="s">
        <v>391</v>
      </c>
      <c r="F33" s="344"/>
      <c r="G33" s="344"/>
      <c r="H33" s="344"/>
    </row>
    <row r="34" spans="1:8" ht="25.5" customHeight="1" x14ac:dyDescent="0.3">
      <c r="A34" s="265" t="s">
        <v>392</v>
      </c>
      <c r="B34" s="265"/>
      <c r="C34" s="265"/>
      <c r="D34" s="25"/>
      <c r="E34" s="192"/>
      <c r="F34" s="372"/>
      <c r="G34" s="373"/>
      <c r="H34" s="374"/>
    </row>
    <row r="35" spans="1:8" ht="24.75" customHeight="1" x14ac:dyDescent="0.3">
      <c r="A35" s="265" t="s">
        <v>393</v>
      </c>
      <c r="B35" s="265"/>
      <c r="C35" s="265"/>
      <c r="D35" s="26"/>
      <c r="E35" s="192" t="s">
        <v>391</v>
      </c>
      <c r="F35" s="372"/>
      <c r="G35" s="373"/>
      <c r="H35" s="374"/>
    </row>
    <row r="36" spans="1:8" ht="13.15" customHeight="1" x14ac:dyDescent="0.3">
      <c r="A36" s="265" t="s">
        <v>394</v>
      </c>
      <c r="B36" s="265"/>
      <c r="C36" s="265"/>
      <c r="D36" s="142">
        <f>D34*D35</f>
        <v>0</v>
      </c>
      <c r="E36" s="192" t="s">
        <v>391</v>
      </c>
      <c r="F36" s="384" t="str">
        <f>IF(D36=0,"",IF(D36&lt;D33,"Does not meet sizing criteria",""))</f>
        <v/>
      </c>
      <c r="G36" s="385"/>
      <c r="H36" s="386"/>
    </row>
    <row r="37" spans="1:8" x14ac:dyDescent="0.25">
      <c r="A37" s="383"/>
      <c r="B37" s="383"/>
      <c r="C37" s="383"/>
      <c r="D37" s="383"/>
      <c r="E37" s="383"/>
      <c r="F37" s="383"/>
      <c r="G37" s="383"/>
      <c r="H37" s="383"/>
    </row>
    <row r="38" spans="1:8" ht="13.15" customHeight="1" x14ac:dyDescent="0.3">
      <c r="A38" s="273" t="s">
        <v>372</v>
      </c>
      <c r="B38" s="273"/>
      <c r="C38" s="273"/>
      <c r="D38" s="273"/>
      <c r="E38" s="273"/>
      <c r="F38" s="273"/>
      <c r="G38" s="273"/>
      <c r="H38" s="273"/>
    </row>
    <row r="39" spans="1:8" ht="13.15" customHeight="1" x14ac:dyDescent="0.25">
      <c r="A39" s="335" t="s">
        <v>241</v>
      </c>
      <c r="B39" s="335"/>
      <c r="C39" s="335"/>
      <c r="D39" s="143">
        <f>IF(B30="",0,IF(D36&lt;D33,0,IF(D36&gt;D33,F30*1)))</f>
        <v>0</v>
      </c>
      <c r="E39" s="310" t="s">
        <v>2</v>
      </c>
      <c r="F39" s="311"/>
      <c r="G39" s="311"/>
      <c r="H39" s="312"/>
    </row>
    <row r="40" spans="1:8" ht="13" x14ac:dyDescent="0.3">
      <c r="A40" s="24" t="s">
        <v>56</v>
      </c>
      <c r="B40" s="23" t="str">
        <f>IF('STEP 2-WQv Calculation'!$B$4="","",'STEP 2-WQv Calculation'!$B$4)</f>
        <v/>
      </c>
    </row>
    <row r="41" spans="1:8" ht="13.15" customHeight="1" x14ac:dyDescent="0.3">
      <c r="A41" s="246" t="s">
        <v>293</v>
      </c>
      <c r="B41" s="381"/>
      <c r="C41" s="381"/>
      <c r="D41" s="381"/>
      <c r="E41" s="381"/>
      <c r="F41" s="381"/>
      <c r="G41" s="381"/>
      <c r="H41" s="382"/>
    </row>
    <row r="42" spans="1:8" ht="38.5" x14ac:dyDescent="0.25">
      <c r="A42" s="204" t="s">
        <v>60</v>
      </c>
      <c r="B42" s="205" t="s">
        <v>61</v>
      </c>
      <c r="C42" s="205" t="s">
        <v>62</v>
      </c>
      <c r="D42" s="205" t="s">
        <v>63</v>
      </c>
      <c r="E42" s="205" t="s">
        <v>64</v>
      </c>
      <c r="F42" s="205" t="s">
        <v>65</v>
      </c>
      <c r="G42" s="205" t="s">
        <v>244</v>
      </c>
      <c r="H42" s="206" t="s">
        <v>13</v>
      </c>
    </row>
    <row r="43" spans="1:8" x14ac:dyDescent="0.25">
      <c r="A43" s="17"/>
      <c r="B43" s="18" t="str">
        <f>IF($A43="","",(LOOKUP($A43,'STEP 2-WQv Calculation'!$A$8:$A$37,'STEP 2-WQv Calculation'!$B$8:$B$37)))</f>
        <v/>
      </c>
      <c r="C43" s="18" t="str">
        <f>IF($A43="","",(LOOKUP($A43,'STEP 2-WQv Calculation'!$A$8:$A$37,'STEP 2-WQv Calculation'!$C$8:$C$37)))</f>
        <v/>
      </c>
      <c r="D43" s="53" t="str">
        <f>IF($A43="","",(LOOKUP($A43,'STEP 2-WQv Calculation'!$A$8:$A$37,'STEP 2-WQv Calculation'!$D$8:$D$37)))</f>
        <v/>
      </c>
      <c r="E43" s="18" t="str">
        <f>IF($A43="","",(LOOKUP($A43,'STEP 2-WQv Calculation'!$A$8:$A$37,'STEP 2-WQv Calculation'!$E$8:$E$37)))</f>
        <v/>
      </c>
      <c r="F43" s="42" t="str">
        <f>IF($A43="","",(LOOKUP($A43,'STEP 2-WQv Calculation'!$A$8:$A$37,'STEP 2-WQv Calculation'!$F$8:$F$37)))</f>
        <v/>
      </c>
      <c r="G43" s="18">
        <f>'STEP 2-WQv Calculation'!B5</f>
        <v>0</v>
      </c>
      <c r="H43" s="29" t="str">
        <f>IF($A43="","",(LOOKUP($A43,'STEP 2-WQv Calculation'!$A$8:$A$37,'STEP 2-WQv Calculation'!$G$8:$G$37)))</f>
        <v/>
      </c>
    </row>
    <row r="44" spans="1:8" ht="13.15" customHeight="1" x14ac:dyDescent="0.3">
      <c r="A44" s="273" t="s">
        <v>232</v>
      </c>
      <c r="B44" s="273"/>
      <c r="C44" s="273"/>
      <c r="D44" s="273"/>
      <c r="E44" s="273"/>
      <c r="F44" s="273"/>
      <c r="G44" s="273"/>
      <c r="H44" s="273"/>
    </row>
    <row r="45" spans="1:8" x14ac:dyDescent="0.25">
      <c r="A45" s="378"/>
      <c r="B45" s="379"/>
      <c r="C45" s="380"/>
      <c r="D45" s="208" t="s">
        <v>256</v>
      </c>
      <c r="E45" s="141" t="s">
        <v>257</v>
      </c>
      <c r="F45" s="375" t="s">
        <v>258</v>
      </c>
      <c r="G45" s="376"/>
      <c r="H45" s="377"/>
    </row>
    <row r="46" spans="1:8" ht="13.15" customHeight="1" x14ac:dyDescent="0.25">
      <c r="A46" s="265" t="s">
        <v>395</v>
      </c>
      <c r="B46" s="265"/>
      <c r="C46" s="265"/>
      <c r="D46" s="191" t="str">
        <f>IF(F43="","",F43*7.5)</f>
        <v/>
      </c>
      <c r="E46" s="192" t="s">
        <v>391</v>
      </c>
      <c r="F46" s="344"/>
      <c r="G46" s="344"/>
      <c r="H46" s="344"/>
    </row>
    <row r="47" spans="1:8" ht="25.5" customHeight="1" x14ac:dyDescent="0.3">
      <c r="A47" s="265" t="s">
        <v>392</v>
      </c>
      <c r="B47" s="265"/>
      <c r="C47" s="265"/>
      <c r="D47" s="25"/>
      <c r="E47" s="192"/>
      <c r="F47" s="372"/>
      <c r="G47" s="373"/>
      <c r="H47" s="374"/>
    </row>
    <row r="48" spans="1:8" ht="24.75" customHeight="1" x14ac:dyDescent="0.3">
      <c r="A48" s="265" t="s">
        <v>393</v>
      </c>
      <c r="B48" s="265"/>
      <c r="C48" s="265"/>
      <c r="D48" s="26"/>
      <c r="E48" s="192" t="s">
        <v>391</v>
      </c>
      <c r="F48" s="372"/>
      <c r="G48" s="373"/>
      <c r="H48" s="374"/>
    </row>
    <row r="49" spans="1:8" ht="13.15" customHeight="1" x14ac:dyDescent="0.3">
      <c r="A49" s="265" t="s">
        <v>394</v>
      </c>
      <c r="B49" s="265"/>
      <c r="C49" s="265"/>
      <c r="D49" s="142">
        <f>D47*D48</f>
        <v>0</v>
      </c>
      <c r="E49" s="192" t="s">
        <v>391</v>
      </c>
      <c r="F49" s="384" t="str">
        <f>IF(D49=0,"",IF(D49&lt;D46,"Does not meet sizing criteria",""))</f>
        <v/>
      </c>
      <c r="G49" s="385"/>
      <c r="H49" s="386"/>
    </row>
    <row r="50" spans="1:8" x14ac:dyDescent="0.25">
      <c r="A50" s="383"/>
      <c r="B50" s="383"/>
      <c r="C50" s="383"/>
      <c r="D50" s="383"/>
      <c r="E50" s="383"/>
      <c r="F50" s="383"/>
      <c r="G50" s="383"/>
      <c r="H50" s="383"/>
    </row>
    <row r="51" spans="1:8" ht="13.15" customHeight="1" x14ac:dyDescent="0.3">
      <c r="A51" s="273" t="s">
        <v>372</v>
      </c>
      <c r="B51" s="273"/>
      <c r="C51" s="273"/>
      <c r="D51" s="273"/>
      <c r="E51" s="273"/>
      <c r="F51" s="273"/>
      <c r="G51" s="273"/>
      <c r="H51" s="273"/>
    </row>
    <row r="52" spans="1:8" ht="13.15" customHeight="1" x14ac:dyDescent="0.25">
      <c r="A52" s="335" t="s">
        <v>241</v>
      </c>
      <c r="B52" s="335"/>
      <c r="C52" s="335"/>
      <c r="D52" s="143">
        <f>IF(B43="",0,IF(D49&lt;D46,0,IF(D49&gt;D46,F43*1)))</f>
        <v>0</v>
      </c>
      <c r="E52" s="310" t="s">
        <v>2</v>
      </c>
      <c r="F52" s="311"/>
      <c r="G52" s="311"/>
      <c r="H52" s="312"/>
    </row>
    <row r="53" spans="1:8" ht="13" x14ac:dyDescent="0.3">
      <c r="A53" s="24" t="s">
        <v>56</v>
      </c>
      <c r="B53" s="23" t="str">
        <f>IF('STEP 2-WQv Calculation'!$B$4="","",'STEP 2-WQv Calculation'!$B$4)</f>
        <v/>
      </c>
    </row>
    <row r="54" spans="1:8" ht="13.15" customHeight="1" x14ac:dyDescent="0.3">
      <c r="A54" s="246" t="s">
        <v>293</v>
      </c>
      <c r="B54" s="381"/>
      <c r="C54" s="381"/>
      <c r="D54" s="381"/>
      <c r="E54" s="381"/>
      <c r="F54" s="381"/>
      <c r="G54" s="381"/>
      <c r="H54" s="382"/>
    </row>
    <row r="55" spans="1:8" ht="38.5" x14ac:dyDescent="0.25">
      <c r="A55" s="204" t="s">
        <v>60</v>
      </c>
      <c r="B55" s="205" t="s">
        <v>61</v>
      </c>
      <c r="C55" s="205" t="s">
        <v>62</v>
      </c>
      <c r="D55" s="205" t="s">
        <v>63</v>
      </c>
      <c r="E55" s="205" t="s">
        <v>64</v>
      </c>
      <c r="F55" s="205" t="s">
        <v>65</v>
      </c>
      <c r="G55" s="205" t="s">
        <v>244</v>
      </c>
      <c r="H55" s="206" t="s">
        <v>13</v>
      </c>
    </row>
    <row r="56" spans="1:8" x14ac:dyDescent="0.25">
      <c r="A56" s="17"/>
      <c r="B56" s="18" t="str">
        <f>IF($A56="","",(LOOKUP($A56,'STEP 2-WQv Calculation'!$A$8:$A$37,'STEP 2-WQv Calculation'!$B$8:$B$37)))</f>
        <v/>
      </c>
      <c r="C56" s="18" t="str">
        <f>IF($A56="","",(LOOKUP($A56,'STEP 2-WQv Calculation'!$A$8:$A$37,'STEP 2-WQv Calculation'!$C$8:$C$37)))</f>
        <v/>
      </c>
      <c r="D56" s="53" t="str">
        <f>IF($A56="","",(LOOKUP($A56,'STEP 2-WQv Calculation'!$A$8:$A$37,'STEP 2-WQv Calculation'!$D$8:$D$37)))</f>
        <v/>
      </c>
      <c r="E56" s="18" t="str">
        <f>IF($A56="","",(LOOKUP($A56,'STEP 2-WQv Calculation'!$A$8:$A$37,'STEP 2-WQv Calculation'!$E$8:$E$37)))</f>
        <v/>
      </c>
      <c r="F56" s="42" t="str">
        <f>IF($A56="","",(LOOKUP($A56,'STEP 2-WQv Calculation'!$A$8:$A$37,'STEP 2-WQv Calculation'!$F$8:$F$37)))</f>
        <v/>
      </c>
      <c r="G56" s="18">
        <f>'STEP 2-WQv Calculation'!B5</f>
        <v>0</v>
      </c>
      <c r="H56" s="29" t="str">
        <f>IF($A56="","",(LOOKUP($A56,'STEP 2-WQv Calculation'!$A$8:$A$37,'STEP 2-WQv Calculation'!$G$8:$G$37)))</f>
        <v/>
      </c>
    </row>
    <row r="57" spans="1:8" ht="13.15" customHeight="1" x14ac:dyDescent="0.3">
      <c r="A57" s="273" t="s">
        <v>232</v>
      </c>
      <c r="B57" s="273"/>
      <c r="C57" s="273"/>
      <c r="D57" s="273"/>
      <c r="E57" s="273"/>
      <c r="F57" s="273"/>
      <c r="G57" s="273"/>
      <c r="H57" s="273"/>
    </row>
    <row r="58" spans="1:8" x14ac:dyDescent="0.25">
      <c r="A58" s="378"/>
      <c r="B58" s="379"/>
      <c r="C58" s="380"/>
      <c r="D58" s="208" t="s">
        <v>256</v>
      </c>
      <c r="E58" s="141" t="s">
        <v>257</v>
      </c>
      <c r="F58" s="375" t="s">
        <v>258</v>
      </c>
      <c r="G58" s="376"/>
      <c r="H58" s="377"/>
    </row>
    <row r="59" spans="1:8" ht="13.15" customHeight="1" x14ac:dyDescent="0.25">
      <c r="A59" s="265" t="s">
        <v>395</v>
      </c>
      <c r="B59" s="265"/>
      <c r="C59" s="265"/>
      <c r="D59" s="191" t="str">
        <f>IF(F56="","",F56*7.5)</f>
        <v/>
      </c>
      <c r="E59" s="192" t="s">
        <v>391</v>
      </c>
      <c r="F59" s="344"/>
      <c r="G59" s="344"/>
      <c r="H59" s="344"/>
    </row>
    <row r="60" spans="1:8" ht="27.75" customHeight="1" x14ac:dyDescent="0.3">
      <c r="A60" s="265" t="s">
        <v>392</v>
      </c>
      <c r="B60" s="265"/>
      <c r="C60" s="265"/>
      <c r="D60" s="25"/>
      <c r="E60" s="192"/>
      <c r="F60" s="372"/>
      <c r="G60" s="373"/>
      <c r="H60" s="374"/>
    </row>
    <row r="61" spans="1:8" ht="25.5" customHeight="1" x14ac:dyDescent="0.3">
      <c r="A61" s="265" t="s">
        <v>393</v>
      </c>
      <c r="B61" s="265"/>
      <c r="C61" s="265"/>
      <c r="D61" s="26"/>
      <c r="E61" s="192" t="s">
        <v>391</v>
      </c>
      <c r="F61" s="372"/>
      <c r="G61" s="373"/>
      <c r="H61" s="374"/>
    </row>
    <row r="62" spans="1:8" ht="13.15" customHeight="1" x14ac:dyDescent="0.3">
      <c r="A62" s="265" t="s">
        <v>394</v>
      </c>
      <c r="B62" s="265"/>
      <c r="C62" s="265"/>
      <c r="D62" s="142">
        <f>D60*D61</f>
        <v>0</v>
      </c>
      <c r="E62" s="192" t="s">
        <v>391</v>
      </c>
      <c r="F62" s="384" t="str">
        <f>IF(D62=0,"",IF(D62&lt;D59,"Does not meet sizing criteria",""))</f>
        <v/>
      </c>
      <c r="G62" s="385"/>
      <c r="H62" s="386"/>
    </row>
    <row r="63" spans="1:8" x14ac:dyDescent="0.25">
      <c r="A63" s="383"/>
      <c r="B63" s="383"/>
      <c r="C63" s="383"/>
      <c r="D63" s="383"/>
      <c r="E63" s="383"/>
      <c r="F63" s="383"/>
      <c r="G63" s="383"/>
      <c r="H63" s="383"/>
    </row>
    <row r="64" spans="1:8" ht="13.15" customHeight="1" x14ac:dyDescent="0.3">
      <c r="A64" s="273" t="s">
        <v>372</v>
      </c>
      <c r="B64" s="273"/>
      <c r="C64" s="273"/>
      <c r="D64" s="273"/>
      <c r="E64" s="273"/>
      <c r="F64" s="273"/>
      <c r="G64" s="273"/>
      <c r="H64" s="273"/>
    </row>
    <row r="65" spans="1:8" ht="13.15" customHeight="1" x14ac:dyDescent="0.25">
      <c r="A65" s="335" t="s">
        <v>241</v>
      </c>
      <c r="B65" s="335"/>
      <c r="C65" s="335"/>
      <c r="D65" s="143">
        <f>IF(B56="",0,IF(D62&lt;D59,0,IF(D62&gt;D59,F56*1)))</f>
        <v>0</v>
      </c>
      <c r="E65" s="310" t="s">
        <v>2</v>
      </c>
      <c r="F65" s="311"/>
      <c r="G65" s="311"/>
      <c r="H65" s="312"/>
    </row>
    <row r="66" spans="1:8" ht="13" x14ac:dyDescent="0.3">
      <c r="A66" s="24" t="s">
        <v>56</v>
      </c>
      <c r="B66" s="23" t="str">
        <f>IF('STEP 2-WQv Calculation'!$B$4="","",'STEP 2-WQv Calculation'!$B$4)</f>
        <v/>
      </c>
    </row>
    <row r="67" spans="1:8" ht="13" x14ac:dyDescent="0.3">
      <c r="A67" s="246" t="s">
        <v>293</v>
      </c>
      <c r="B67" s="381"/>
      <c r="C67" s="381"/>
      <c r="D67" s="381"/>
      <c r="E67" s="381"/>
      <c r="F67" s="381"/>
      <c r="G67" s="381"/>
      <c r="H67" s="382"/>
    </row>
    <row r="68" spans="1:8" ht="38.5" x14ac:dyDescent="0.25">
      <c r="A68" s="204" t="s">
        <v>60</v>
      </c>
      <c r="B68" s="205" t="s">
        <v>61</v>
      </c>
      <c r="C68" s="205" t="s">
        <v>62</v>
      </c>
      <c r="D68" s="205" t="s">
        <v>63</v>
      </c>
      <c r="E68" s="205" t="s">
        <v>64</v>
      </c>
      <c r="F68" s="205" t="s">
        <v>65</v>
      </c>
      <c r="G68" s="205" t="s">
        <v>244</v>
      </c>
      <c r="H68" s="206" t="s">
        <v>13</v>
      </c>
    </row>
    <row r="69" spans="1:8" x14ac:dyDescent="0.25">
      <c r="A69" s="17"/>
      <c r="B69" s="18" t="str">
        <f>IF($A69="","",(LOOKUP($A69,'STEP 2-WQv Calculation'!$A$8:$A$37,'STEP 2-WQv Calculation'!$B$8:$B$37)))</f>
        <v/>
      </c>
      <c r="C69" s="18" t="str">
        <f>IF($A69="","",(LOOKUP($A69,'STEP 2-WQv Calculation'!$A$8:$A$37,'STEP 2-WQv Calculation'!$C$8:$C$37)))</f>
        <v/>
      </c>
      <c r="D69" s="53" t="str">
        <f>IF($A69="","",(LOOKUP($A69,'STEP 2-WQv Calculation'!$A$8:$A$37,'STEP 2-WQv Calculation'!$D$8:$D$37)))</f>
        <v/>
      </c>
      <c r="E69" s="18" t="str">
        <f>IF($A69="","",(LOOKUP($A69,'STEP 2-WQv Calculation'!$A$8:$A$37,'STEP 2-WQv Calculation'!$E$8:$E$37)))</f>
        <v/>
      </c>
      <c r="F69" s="42" t="str">
        <f>IF($A69="","",(LOOKUP($A69,'STEP 2-WQv Calculation'!$A$8:$A$37,'STEP 2-WQv Calculation'!$F$8:$F$37)))</f>
        <v/>
      </c>
      <c r="G69" s="18">
        <f>'STEP 2-WQv Calculation'!B18</f>
        <v>0</v>
      </c>
      <c r="H69" s="29" t="str">
        <f>IF($A69="","",(LOOKUP($A69,'STEP 2-WQv Calculation'!$A$8:$A$37,'STEP 2-WQv Calculation'!$G$8:$G$37)))</f>
        <v/>
      </c>
    </row>
    <row r="70" spans="1:8" ht="13" x14ac:dyDescent="0.3">
      <c r="A70" s="273" t="s">
        <v>232</v>
      </c>
      <c r="B70" s="273"/>
      <c r="C70" s="273"/>
      <c r="D70" s="273"/>
      <c r="E70" s="273"/>
      <c r="F70" s="273"/>
      <c r="G70" s="273"/>
      <c r="H70" s="273"/>
    </row>
    <row r="71" spans="1:8" x14ac:dyDescent="0.25">
      <c r="A71" s="378"/>
      <c r="B71" s="379"/>
      <c r="C71" s="380"/>
      <c r="D71" s="208" t="s">
        <v>256</v>
      </c>
      <c r="E71" s="141" t="s">
        <v>257</v>
      </c>
      <c r="F71" s="375" t="s">
        <v>258</v>
      </c>
      <c r="G71" s="376"/>
      <c r="H71" s="377"/>
    </row>
    <row r="72" spans="1:8" x14ac:dyDescent="0.25">
      <c r="A72" s="265" t="s">
        <v>395</v>
      </c>
      <c r="B72" s="265"/>
      <c r="C72" s="265"/>
      <c r="D72" s="191" t="str">
        <f>IF(F69="","",F69*7.5)</f>
        <v/>
      </c>
      <c r="E72" s="192" t="s">
        <v>391</v>
      </c>
      <c r="F72" s="344"/>
      <c r="G72" s="344"/>
      <c r="H72" s="344"/>
    </row>
    <row r="73" spans="1:8" ht="13" x14ac:dyDescent="0.3">
      <c r="A73" s="265" t="s">
        <v>392</v>
      </c>
      <c r="B73" s="265"/>
      <c r="C73" s="265"/>
      <c r="D73" s="25"/>
      <c r="E73" s="192"/>
      <c r="F73" s="372"/>
      <c r="G73" s="373"/>
      <c r="H73" s="374"/>
    </row>
    <row r="74" spans="1:8" ht="13" x14ac:dyDescent="0.3">
      <c r="A74" s="265" t="s">
        <v>393</v>
      </c>
      <c r="B74" s="265"/>
      <c r="C74" s="265"/>
      <c r="D74" s="26"/>
      <c r="E74" s="192" t="s">
        <v>391</v>
      </c>
      <c r="F74" s="372"/>
      <c r="G74" s="373"/>
      <c r="H74" s="374"/>
    </row>
    <row r="75" spans="1:8" ht="13" x14ac:dyDescent="0.3">
      <c r="A75" s="265" t="s">
        <v>394</v>
      </c>
      <c r="B75" s="265"/>
      <c r="C75" s="265"/>
      <c r="D75" s="142">
        <f>D73*D74</f>
        <v>0</v>
      </c>
      <c r="E75" s="192" t="s">
        <v>391</v>
      </c>
      <c r="F75" s="384" t="str">
        <f>IF(D75=0,"",IF(D75&lt;D72,"Does not meet sizing criteria",""))</f>
        <v/>
      </c>
      <c r="G75" s="385"/>
      <c r="H75" s="386"/>
    </row>
    <row r="76" spans="1:8" x14ac:dyDescent="0.25">
      <c r="A76" s="383"/>
      <c r="B76" s="383"/>
      <c r="C76" s="383"/>
      <c r="D76" s="383"/>
      <c r="E76" s="383"/>
      <c r="F76" s="383"/>
      <c r="G76" s="383"/>
      <c r="H76" s="383"/>
    </row>
    <row r="77" spans="1:8" ht="13" x14ac:dyDescent="0.3">
      <c r="A77" s="273" t="s">
        <v>372</v>
      </c>
      <c r="B77" s="273"/>
      <c r="C77" s="273"/>
      <c r="D77" s="273"/>
      <c r="E77" s="273"/>
      <c r="F77" s="273"/>
      <c r="G77" s="273"/>
      <c r="H77" s="273"/>
    </row>
    <row r="78" spans="1:8" ht="13" x14ac:dyDescent="0.25">
      <c r="A78" s="335" t="s">
        <v>241</v>
      </c>
      <c r="B78" s="335"/>
      <c r="C78" s="335"/>
      <c r="D78" s="143">
        <f>IF(B69="",0,IF(D75&lt;D72,0,IF(D75&gt;D72,F69*1)))</f>
        <v>0</v>
      </c>
      <c r="E78" s="310" t="s">
        <v>2</v>
      </c>
      <c r="F78" s="311"/>
      <c r="G78" s="311"/>
      <c r="H78" s="312"/>
    </row>
    <row r="79" spans="1:8" ht="13" x14ac:dyDescent="0.3">
      <c r="A79" s="24" t="s">
        <v>56</v>
      </c>
      <c r="B79" s="23" t="str">
        <f>IF('STEP 2-WQv Calculation'!$B$4="","",'STEP 2-WQv Calculation'!$B$4)</f>
        <v/>
      </c>
    </row>
    <row r="80" spans="1:8" ht="13" x14ac:dyDescent="0.3">
      <c r="A80" s="246" t="s">
        <v>293</v>
      </c>
      <c r="B80" s="381"/>
      <c r="C80" s="381"/>
      <c r="D80" s="381"/>
      <c r="E80" s="381"/>
      <c r="F80" s="381"/>
      <c r="G80" s="381"/>
      <c r="H80" s="382"/>
    </row>
    <row r="81" spans="1:8" ht="38.5" x14ac:dyDescent="0.25">
      <c r="A81" s="204" t="s">
        <v>60</v>
      </c>
      <c r="B81" s="205" t="s">
        <v>61</v>
      </c>
      <c r="C81" s="205" t="s">
        <v>62</v>
      </c>
      <c r="D81" s="205" t="s">
        <v>63</v>
      </c>
      <c r="E81" s="205" t="s">
        <v>64</v>
      </c>
      <c r="F81" s="205" t="s">
        <v>65</v>
      </c>
      <c r="G81" s="205" t="s">
        <v>244</v>
      </c>
      <c r="H81" s="206" t="s">
        <v>13</v>
      </c>
    </row>
    <row r="82" spans="1:8" x14ac:dyDescent="0.25">
      <c r="A82" s="17"/>
      <c r="B82" s="18" t="str">
        <f>IF($A82="","",(LOOKUP($A82,'STEP 2-WQv Calculation'!$A$8:$A$37,'STEP 2-WQv Calculation'!$B$8:$B$37)))</f>
        <v/>
      </c>
      <c r="C82" s="18" t="str">
        <f>IF($A82="","",(LOOKUP($A82,'STEP 2-WQv Calculation'!$A$8:$A$37,'STEP 2-WQv Calculation'!$C$8:$C$37)))</f>
        <v/>
      </c>
      <c r="D82" s="53" t="str">
        <f>IF($A82="","",(LOOKUP($A82,'STEP 2-WQv Calculation'!$A$8:$A$37,'STEP 2-WQv Calculation'!$D$8:$D$37)))</f>
        <v/>
      </c>
      <c r="E82" s="18" t="str">
        <f>IF($A82="","",(LOOKUP($A82,'STEP 2-WQv Calculation'!$A$8:$A$37,'STEP 2-WQv Calculation'!$E$8:$E$37)))</f>
        <v/>
      </c>
      <c r="F82" s="42" t="str">
        <f>IF($A82="","",(LOOKUP($A82,'STEP 2-WQv Calculation'!$A$8:$A$37,'STEP 2-WQv Calculation'!$F$8:$F$37)))</f>
        <v/>
      </c>
      <c r="G82" s="18">
        <f>'STEP 2-WQv Calculation'!B31</f>
        <v>0</v>
      </c>
      <c r="H82" s="29" t="str">
        <f>IF($A82="","",(LOOKUP($A82,'STEP 2-WQv Calculation'!$A$8:$A$37,'STEP 2-WQv Calculation'!$G$8:$G$37)))</f>
        <v/>
      </c>
    </row>
    <row r="83" spans="1:8" ht="13" x14ac:dyDescent="0.3">
      <c r="A83" s="273" t="s">
        <v>232</v>
      </c>
      <c r="B83" s="273"/>
      <c r="C83" s="273"/>
      <c r="D83" s="273"/>
      <c r="E83" s="273"/>
      <c r="F83" s="273"/>
      <c r="G83" s="273"/>
      <c r="H83" s="273"/>
    </row>
    <row r="84" spans="1:8" x14ac:dyDescent="0.25">
      <c r="A84" s="378"/>
      <c r="B84" s="379"/>
      <c r="C84" s="380"/>
      <c r="D84" s="208" t="s">
        <v>256</v>
      </c>
      <c r="E84" s="141" t="s">
        <v>257</v>
      </c>
      <c r="F84" s="375" t="s">
        <v>258</v>
      </c>
      <c r="G84" s="376"/>
      <c r="H84" s="377"/>
    </row>
    <row r="85" spans="1:8" x14ac:dyDescent="0.25">
      <c r="A85" s="265" t="s">
        <v>395</v>
      </c>
      <c r="B85" s="265"/>
      <c r="C85" s="265"/>
      <c r="D85" s="191" t="str">
        <f>IF(F82="","",F82*7.5)</f>
        <v/>
      </c>
      <c r="E85" s="192" t="s">
        <v>391</v>
      </c>
      <c r="F85" s="344"/>
      <c r="G85" s="344"/>
      <c r="H85" s="344"/>
    </row>
    <row r="86" spans="1:8" ht="13" x14ac:dyDescent="0.3">
      <c r="A86" s="265" t="s">
        <v>392</v>
      </c>
      <c r="B86" s="265"/>
      <c r="C86" s="265"/>
      <c r="D86" s="25"/>
      <c r="E86" s="192"/>
      <c r="F86" s="372"/>
      <c r="G86" s="373"/>
      <c r="H86" s="374"/>
    </row>
    <row r="87" spans="1:8" ht="13" x14ac:dyDescent="0.3">
      <c r="A87" s="265" t="s">
        <v>393</v>
      </c>
      <c r="B87" s="265"/>
      <c r="C87" s="265"/>
      <c r="D87" s="26"/>
      <c r="E87" s="192" t="s">
        <v>391</v>
      </c>
      <c r="F87" s="372"/>
      <c r="G87" s="373"/>
      <c r="H87" s="374"/>
    </row>
    <row r="88" spans="1:8" ht="13" x14ac:dyDescent="0.3">
      <c r="A88" s="265" t="s">
        <v>394</v>
      </c>
      <c r="B88" s="265"/>
      <c r="C88" s="265"/>
      <c r="D88" s="142">
        <f>D86*D87</f>
        <v>0</v>
      </c>
      <c r="E88" s="192" t="s">
        <v>391</v>
      </c>
      <c r="F88" s="384" t="str">
        <f>IF(D88=0,"",IF(D88&lt;D85,"Does not meet sizing criteria",""))</f>
        <v/>
      </c>
      <c r="G88" s="385"/>
      <c r="H88" s="386"/>
    </row>
    <row r="89" spans="1:8" x14ac:dyDescent="0.25">
      <c r="A89" s="383"/>
      <c r="B89" s="383"/>
      <c r="C89" s="383"/>
      <c r="D89" s="383"/>
      <c r="E89" s="383"/>
      <c r="F89" s="383"/>
      <c r="G89" s="383"/>
      <c r="H89" s="383"/>
    </row>
    <row r="90" spans="1:8" ht="13" x14ac:dyDescent="0.3">
      <c r="A90" s="273" t="s">
        <v>372</v>
      </c>
      <c r="B90" s="273"/>
      <c r="C90" s="273"/>
      <c r="D90" s="273"/>
      <c r="E90" s="273"/>
      <c r="F90" s="273"/>
      <c r="G90" s="273"/>
      <c r="H90" s="273"/>
    </row>
    <row r="91" spans="1:8" ht="13" x14ac:dyDescent="0.25">
      <c r="A91" s="335" t="s">
        <v>241</v>
      </c>
      <c r="B91" s="335"/>
      <c r="C91" s="335"/>
      <c r="D91" s="143">
        <f>IF(B82="",0,IF(D88&lt;D85,0,IF(D88&gt;D85,F82*1)))</f>
        <v>0</v>
      </c>
      <c r="E91" s="310" t="s">
        <v>2</v>
      </c>
      <c r="F91" s="311"/>
      <c r="G91" s="311"/>
      <c r="H91" s="312"/>
    </row>
    <row r="92" spans="1:8" ht="13" x14ac:dyDescent="0.3">
      <c r="A92" s="24" t="s">
        <v>56</v>
      </c>
      <c r="B92" s="23" t="str">
        <f>IF('STEP 2-WQv Calculation'!$B$4="","",'STEP 2-WQv Calculation'!$B$4)</f>
        <v/>
      </c>
    </row>
    <row r="93" spans="1:8" ht="13" x14ac:dyDescent="0.3">
      <c r="A93" s="246" t="s">
        <v>293</v>
      </c>
      <c r="B93" s="381"/>
      <c r="C93" s="381"/>
      <c r="D93" s="381"/>
      <c r="E93" s="381"/>
      <c r="F93" s="381"/>
      <c r="G93" s="381"/>
      <c r="H93" s="382"/>
    </row>
    <row r="94" spans="1:8" ht="38.5" x14ac:dyDescent="0.25">
      <c r="A94" s="204" t="s">
        <v>60</v>
      </c>
      <c r="B94" s="205" t="s">
        <v>61</v>
      </c>
      <c r="C94" s="205" t="s">
        <v>62</v>
      </c>
      <c r="D94" s="205" t="s">
        <v>63</v>
      </c>
      <c r="E94" s="205" t="s">
        <v>64</v>
      </c>
      <c r="F94" s="205" t="s">
        <v>65</v>
      </c>
      <c r="G94" s="205" t="s">
        <v>244</v>
      </c>
      <c r="H94" s="206" t="s">
        <v>13</v>
      </c>
    </row>
    <row r="95" spans="1:8" x14ac:dyDescent="0.25">
      <c r="A95" s="17"/>
      <c r="B95" s="18" t="str">
        <f>IF($A95="","",(LOOKUP($A95,'STEP 2-WQv Calculation'!$A$8:$A$37,'STEP 2-WQv Calculation'!$B$8:$B$37)))</f>
        <v/>
      </c>
      <c r="C95" s="18" t="str">
        <f>IF($A95="","",(LOOKUP($A95,'STEP 2-WQv Calculation'!$A$8:$A$37,'STEP 2-WQv Calculation'!$C$8:$C$37)))</f>
        <v/>
      </c>
      <c r="D95" s="53" t="str">
        <f>IF($A95="","",(LOOKUP($A95,'STEP 2-WQv Calculation'!$A$8:$A$37,'STEP 2-WQv Calculation'!$D$8:$D$37)))</f>
        <v/>
      </c>
      <c r="E95" s="18" t="str">
        <f>IF($A95="","",(LOOKUP($A95,'STEP 2-WQv Calculation'!$A$8:$A$37,'STEP 2-WQv Calculation'!$E$8:$E$37)))</f>
        <v/>
      </c>
      <c r="F95" s="42" t="str">
        <f>IF($A95="","",(LOOKUP($A95,'STEP 2-WQv Calculation'!$A$8:$A$37,'STEP 2-WQv Calculation'!$F$8:$F$37)))</f>
        <v/>
      </c>
      <c r="G95" s="18">
        <f>'STEP 2-WQv Calculation'!B44</f>
        <v>0</v>
      </c>
      <c r="H95" s="29" t="str">
        <f>IF($A95="","",(LOOKUP($A95,'STEP 2-WQv Calculation'!$A$8:$A$37,'STEP 2-WQv Calculation'!$G$8:$G$37)))</f>
        <v/>
      </c>
    </row>
    <row r="96" spans="1:8" ht="13" x14ac:dyDescent="0.3">
      <c r="A96" s="273" t="s">
        <v>232</v>
      </c>
      <c r="B96" s="273"/>
      <c r="C96" s="273"/>
      <c r="D96" s="273"/>
      <c r="E96" s="273"/>
      <c r="F96" s="273"/>
      <c r="G96" s="273"/>
      <c r="H96" s="273"/>
    </row>
    <row r="97" spans="1:8" x14ac:dyDescent="0.25">
      <c r="A97" s="378"/>
      <c r="B97" s="379"/>
      <c r="C97" s="380"/>
      <c r="D97" s="208" t="s">
        <v>256</v>
      </c>
      <c r="E97" s="141" t="s">
        <v>257</v>
      </c>
      <c r="F97" s="375" t="s">
        <v>258</v>
      </c>
      <c r="G97" s="376"/>
      <c r="H97" s="377"/>
    </row>
    <row r="98" spans="1:8" x14ac:dyDescent="0.25">
      <c r="A98" s="265" t="s">
        <v>395</v>
      </c>
      <c r="B98" s="265"/>
      <c r="C98" s="265"/>
      <c r="D98" s="191" t="str">
        <f>IF(F95="","",F95*7.5)</f>
        <v/>
      </c>
      <c r="E98" s="192" t="s">
        <v>391</v>
      </c>
      <c r="F98" s="344"/>
      <c r="G98" s="344"/>
      <c r="H98" s="344"/>
    </row>
    <row r="99" spans="1:8" ht="13" x14ac:dyDescent="0.3">
      <c r="A99" s="265" t="s">
        <v>392</v>
      </c>
      <c r="B99" s="265"/>
      <c r="C99" s="265"/>
      <c r="D99" s="25"/>
      <c r="E99" s="192"/>
      <c r="F99" s="372"/>
      <c r="G99" s="373"/>
      <c r="H99" s="374"/>
    </row>
    <row r="100" spans="1:8" ht="13" x14ac:dyDescent="0.3">
      <c r="A100" s="265" t="s">
        <v>393</v>
      </c>
      <c r="B100" s="265"/>
      <c r="C100" s="265"/>
      <c r="D100" s="26"/>
      <c r="E100" s="192" t="s">
        <v>391</v>
      </c>
      <c r="F100" s="372"/>
      <c r="G100" s="373"/>
      <c r="H100" s="374"/>
    </row>
    <row r="101" spans="1:8" ht="13" x14ac:dyDescent="0.3">
      <c r="A101" s="265" t="s">
        <v>394</v>
      </c>
      <c r="B101" s="265"/>
      <c r="C101" s="265"/>
      <c r="D101" s="142">
        <f>D99*D100</f>
        <v>0</v>
      </c>
      <c r="E101" s="192" t="s">
        <v>391</v>
      </c>
      <c r="F101" s="384" t="str">
        <f>IF(D101=0,"",IF(D101&lt;D98,"Does not meet sizing criteria",""))</f>
        <v/>
      </c>
      <c r="G101" s="385"/>
      <c r="H101" s="386"/>
    </row>
    <row r="102" spans="1:8" x14ac:dyDescent="0.25">
      <c r="A102" s="383"/>
      <c r="B102" s="383"/>
      <c r="C102" s="383"/>
      <c r="D102" s="383"/>
      <c r="E102" s="383"/>
      <c r="F102" s="383"/>
      <c r="G102" s="383"/>
      <c r="H102" s="383"/>
    </row>
    <row r="103" spans="1:8" ht="13" x14ac:dyDescent="0.3">
      <c r="A103" s="273" t="s">
        <v>372</v>
      </c>
      <c r="B103" s="273"/>
      <c r="C103" s="273"/>
      <c r="D103" s="273"/>
      <c r="E103" s="273"/>
      <c r="F103" s="273"/>
      <c r="G103" s="273"/>
      <c r="H103" s="273"/>
    </row>
    <row r="104" spans="1:8" ht="13" x14ac:dyDescent="0.25">
      <c r="A104" s="335" t="s">
        <v>241</v>
      </c>
      <c r="B104" s="335"/>
      <c r="C104" s="335"/>
      <c r="D104" s="143">
        <f>IF(B95="",0,IF(D101&lt;D98,0,IF(D101&gt;D98,F95*1)))</f>
        <v>0</v>
      </c>
      <c r="E104" s="310" t="s">
        <v>2</v>
      </c>
      <c r="F104" s="311"/>
      <c r="G104" s="311"/>
      <c r="H104" s="312"/>
    </row>
    <row r="105" spans="1:8" ht="13" x14ac:dyDescent="0.3">
      <c r="A105" s="24" t="s">
        <v>56</v>
      </c>
      <c r="B105" s="23" t="str">
        <f>IF('STEP 2-WQv Calculation'!$B$4="","",'STEP 2-WQv Calculation'!$B$4)</f>
        <v/>
      </c>
    </row>
    <row r="106" spans="1:8" ht="13" x14ac:dyDescent="0.3">
      <c r="A106" s="246" t="s">
        <v>293</v>
      </c>
      <c r="B106" s="381"/>
      <c r="C106" s="381"/>
      <c r="D106" s="381"/>
      <c r="E106" s="381"/>
      <c r="F106" s="381"/>
      <c r="G106" s="381"/>
      <c r="H106" s="382"/>
    </row>
    <row r="107" spans="1:8" ht="38.5" x14ac:dyDescent="0.25">
      <c r="A107" s="204" t="s">
        <v>60</v>
      </c>
      <c r="B107" s="205" t="s">
        <v>61</v>
      </c>
      <c r="C107" s="205" t="s">
        <v>62</v>
      </c>
      <c r="D107" s="205" t="s">
        <v>63</v>
      </c>
      <c r="E107" s="205" t="s">
        <v>64</v>
      </c>
      <c r="F107" s="205" t="s">
        <v>65</v>
      </c>
      <c r="G107" s="205" t="s">
        <v>244</v>
      </c>
      <c r="H107" s="206" t="s">
        <v>13</v>
      </c>
    </row>
    <row r="108" spans="1:8" x14ac:dyDescent="0.25">
      <c r="A108" s="17"/>
      <c r="B108" s="18" t="str">
        <f>IF($A108="","",(LOOKUP($A108,'STEP 2-WQv Calculation'!$A$8:$A$37,'STEP 2-WQv Calculation'!$B$8:$B$37)))</f>
        <v/>
      </c>
      <c r="C108" s="18" t="str">
        <f>IF($A108="","",(LOOKUP($A108,'STEP 2-WQv Calculation'!$A$8:$A$37,'STEP 2-WQv Calculation'!$C$8:$C$37)))</f>
        <v/>
      </c>
      <c r="D108" s="53" t="str">
        <f>IF($A108="","",(LOOKUP($A108,'STEP 2-WQv Calculation'!$A$8:$A$37,'STEP 2-WQv Calculation'!$D$8:$D$37)))</f>
        <v/>
      </c>
      <c r="E108" s="18" t="str">
        <f>IF($A108="","",(LOOKUP($A108,'STEP 2-WQv Calculation'!$A$8:$A$37,'STEP 2-WQv Calculation'!$E$8:$E$37)))</f>
        <v/>
      </c>
      <c r="F108" s="42" t="str">
        <f>IF($A108="","",(LOOKUP($A108,'STEP 2-WQv Calculation'!$A$8:$A$37,'STEP 2-WQv Calculation'!$F$8:$F$37)))</f>
        <v/>
      </c>
      <c r="G108" s="18">
        <f>'STEP 2-WQv Calculation'!B57</f>
        <v>0</v>
      </c>
      <c r="H108" s="29" t="str">
        <f>IF($A108="","",(LOOKUP($A108,'STEP 2-WQv Calculation'!$A$8:$A$37,'STEP 2-WQv Calculation'!$G$8:$G$37)))</f>
        <v/>
      </c>
    </row>
    <row r="109" spans="1:8" ht="13" x14ac:dyDescent="0.3">
      <c r="A109" s="273" t="s">
        <v>232</v>
      </c>
      <c r="B109" s="273"/>
      <c r="C109" s="273"/>
      <c r="D109" s="273"/>
      <c r="E109" s="273"/>
      <c r="F109" s="273"/>
      <c r="G109" s="273"/>
      <c r="H109" s="273"/>
    </row>
    <row r="110" spans="1:8" x14ac:dyDescent="0.25">
      <c r="A110" s="378"/>
      <c r="B110" s="379"/>
      <c r="C110" s="380"/>
      <c r="D110" s="208" t="s">
        <v>256</v>
      </c>
      <c r="E110" s="141" t="s">
        <v>257</v>
      </c>
      <c r="F110" s="375" t="s">
        <v>258</v>
      </c>
      <c r="G110" s="376"/>
      <c r="H110" s="377"/>
    </row>
    <row r="111" spans="1:8" x14ac:dyDescent="0.25">
      <c r="A111" s="265" t="s">
        <v>395</v>
      </c>
      <c r="B111" s="265"/>
      <c r="C111" s="265"/>
      <c r="D111" s="191" t="str">
        <f>IF(F108="","",F108*7.5)</f>
        <v/>
      </c>
      <c r="E111" s="192" t="s">
        <v>391</v>
      </c>
      <c r="F111" s="344"/>
      <c r="G111" s="344"/>
      <c r="H111" s="344"/>
    </row>
    <row r="112" spans="1:8" ht="13" x14ac:dyDescent="0.3">
      <c r="A112" s="265" t="s">
        <v>392</v>
      </c>
      <c r="B112" s="265"/>
      <c r="C112" s="265"/>
      <c r="D112" s="25"/>
      <c r="E112" s="192"/>
      <c r="F112" s="372"/>
      <c r="G112" s="373"/>
      <c r="H112" s="374"/>
    </row>
    <row r="113" spans="1:8" ht="13" x14ac:dyDescent="0.3">
      <c r="A113" s="265" t="s">
        <v>393</v>
      </c>
      <c r="B113" s="265"/>
      <c r="C113" s="265"/>
      <c r="D113" s="26"/>
      <c r="E113" s="192" t="s">
        <v>391</v>
      </c>
      <c r="F113" s="372"/>
      <c r="G113" s="373"/>
      <c r="H113" s="374"/>
    </row>
    <row r="114" spans="1:8" ht="13" x14ac:dyDescent="0.3">
      <c r="A114" s="265" t="s">
        <v>394</v>
      </c>
      <c r="B114" s="265"/>
      <c r="C114" s="265"/>
      <c r="D114" s="142">
        <f>D112*D113</f>
        <v>0</v>
      </c>
      <c r="E114" s="192" t="s">
        <v>391</v>
      </c>
      <c r="F114" s="384" t="str">
        <f>IF(D114=0,"",IF(D114&lt;D111,"Does not meet sizing criteria",""))</f>
        <v/>
      </c>
      <c r="G114" s="385"/>
      <c r="H114" s="386"/>
    </row>
    <row r="115" spans="1:8" x14ac:dyDescent="0.25">
      <c r="A115" s="383"/>
      <c r="B115" s="383"/>
      <c r="C115" s="383"/>
      <c r="D115" s="383"/>
      <c r="E115" s="383"/>
      <c r="F115" s="383"/>
      <c r="G115" s="383"/>
      <c r="H115" s="383"/>
    </row>
    <row r="116" spans="1:8" ht="13" x14ac:dyDescent="0.3">
      <c r="A116" s="273" t="s">
        <v>372</v>
      </c>
      <c r="B116" s="273"/>
      <c r="C116" s="273"/>
      <c r="D116" s="273"/>
      <c r="E116" s="273"/>
      <c r="F116" s="273"/>
      <c r="G116" s="273"/>
      <c r="H116" s="273"/>
    </row>
    <row r="117" spans="1:8" ht="13" x14ac:dyDescent="0.25">
      <c r="A117" s="335" t="s">
        <v>241</v>
      </c>
      <c r="B117" s="335"/>
      <c r="C117" s="335"/>
      <c r="D117" s="143">
        <f>IF(B108="",0,IF(D114&lt;D111,0,IF(D114&gt;D111,F108*1)))</f>
        <v>0</v>
      </c>
      <c r="E117" s="310" t="s">
        <v>2</v>
      </c>
      <c r="F117" s="311"/>
      <c r="G117" s="311"/>
      <c r="H117" s="312"/>
    </row>
    <row r="118" spans="1:8" ht="13" x14ac:dyDescent="0.3">
      <c r="A118" s="24" t="s">
        <v>56</v>
      </c>
      <c r="B118" s="23" t="str">
        <f>IF('STEP 2-WQv Calculation'!$B$4="","",'STEP 2-WQv Calculation'!$B$4)</f>
        <v/>
      </c>
    </row>
    <row r="119" spans="1:8" ht="13" x14ac:dyDescent="0.3">
      <c r="A119" s="246" t="s">
        <v>293</v>
      </c>
      <c r="B119" s="381"/>
      <c r="C119" s="381"/>
      <c r="D119" s="381"/>
      <c r="E119" s="381"/>
      <c r="F119" s="381"/>
      <c r="G119" s="381"/>
      <c r="H119" s="382"/>
    </row>
    <row r="120" spans="1:8" ht="38.5" x14ac:dyDescent="0.25">
      <c r="A120" s="204" t="s">
        <v>60</v>
      </c>
      <c r="B120" s="205" t="s">
        <v>61</v>
      </c>
      <c r="C120" s="205" t="s">
        <v>62</v>
      </c>
      <c r="D120" s="205" t="s">
        <v>63</v>
      </c>
      <c r="E120" s="205" t="s">
        <v>64</v>
      </c>
      <c r="F120" s="205" t="s">
        <v>65</v>
      </c>
      <c r="G120" s="205" t="s">
        <v>244</v>
      </c>
      <c r="H120" s="206" t="s">
        <v>13</v>
      </c>
    </row>
    <row r="121" spans="1:8" x14ac:dyDescent="0.25">
      <c r="A121" s="17"/>
      <c r="B121" s="18" t="str">
        <f>IF($A121="","",(LOOKUP($A121,'STEP 2-WQv Calculation'!$A$8:$A$37,'STEP 2-WQv Calculation'!$B$8:$B$37)))</f>
        <v/>
      </c>
      <c r="C121" s="18" t="str">
        <f>IF($A121="","",(LOOKUP($A121,'STEP 2-WQv Calculation'!$A$8:$A$37,'STEP 2-WQv Calculation'!$C$8:$C$37)))</f>
        <v/>
      </c>
      <c r="D121" s="53" t="str">
        <f>IF($A121="","",(LOOKUP($A121,'STEP 2-WQv Calculation'!$A$8:$A$37,'STEP 2-WQv Calculation'!$D$8:$D$37)))</f>
        <v/>
      </c>
      <c r="E121" s="18" t="str">
        <f>IF($A121="","",(LOOKUP($A121,'STEP 2-WQv Calculation'!$A$8:$A$37,'STEP 2-WQv Calculation'!$E$8:$E$37)))</f>
        <v/>
      </c>
      <c r="F121" s="42" t="str">
        <f>IF($A121="","",(LOOKUP($A121,'STEP 2-WQv Calculation'!$A$8:$A$37,'STEP 2-WQv Calculation'!$F$8:$F$37)))</f>
        <v/>
      </c>
      <c r="G121" s="18">
        <f>'STEP 2-WQv Calculation'!B70</f>
        <v>0</v>
      </c>
      <c r="H121" s="29" t="str">
        <f>IF($A121="","",(LOOKUP($A121,'STEP 2-WQv Calculation'!$A$8:$A$37,'STEP 2-WQv Calculation'!$G$8:$G$37)))</f>
        <v/>
      </c>
    </row>
    <row r="122" spans="1:8" ht="13" x14ac:dyDescent="0.3">
      <c r="A122" s="273" t="s">
        <v>232</v>
      </c>
      <c r="B122" s="273"/>
      <c r="C122" s="273"/>
      <c r="D122" s="273"/>
      <c r="E122" s="273"/>
      <c r="F122" s="273"/>
      <c r="G122" s="273"/>
      <c r="H122" s="273"/>
    </row>
    <row r="123" spans="1:8" x14ac:dyDescent="0.25">
      <c r="A123" s="378"/>
      <c r="B123" s="379"/>
      <c r="C123" s="380"/>
      <c r="D123" s="208" t="s">
        <v>256</v>
      </c>
      <c r="E123" s="141" t="s">
        <v>257</v>
      </c>
      <c r="F123" s="375" t="s">
        <v>258</v>
      </c>
      <c r="G123" s="376"/>
      <c r="H123" s="377"/>
    </row>
    <row r="124" spans="1:8" x14ac:dyDescent="0.25">
      <c r="A124" s="265" t="s">
        <v>395</v>
      </c>
      <c r="B124" s="265"/>
      <c r="C124" s="265"/>
      <c r="D124" s="191" t="str">
        <f>IF(F121="","",F121*7.5)</f>
        <v/>
      </c>
      <c r="E124" s="192" t="s">
        <v>391</v>
      </c>
      <c r="F124" s="344"/>
      <c r="G124" s="344"/>
      <c r="H124" s="344"/>
    </row>
    <row r="125" spans="1:8" ht="13" x14ac:dyDescent="0.3">
      <c r="A125" s="265" t="s">
        <v>392</v>
      </c>
      <c r="B125" s="265"/>
      <c r="C125" s="265"/>
      <c r="D125" s="25"/>
      <c r="E125" s="192"/>
      <c r="F125" s="372"/>
      <c r="G125" s="373"/>
      <c r="H125" s="374"/>
    </row>
    <row r="126" spans="1:8" ht="13" x14ac:dyDescent="0.3">
      <c r="A126" s="265" t="s">
        <v>393</v>
      </c>
      <c r="B126" s="265"/>
      <c r="C126" s="265"/>
      <c r="D126" s="26"/>
      <c r="E126" s="192" t="s">
        <v>391</v>
      </c>
      <c r="F126" s="372"/>
      <c r="G126" s="373"/>
      <c r="H126" s="374"/>
    </row>
    <row r="127" spans="1:8" ht="13" x14ac:dyDescent="0.3">
      <c r="A127" s="265" t="s">
        <v>394</v>
      </c>
      <c r="B127" s="265"/>
      <c r="C127" s="265"/>
      <c r="D127" s="142">
        <f>D125*D126</f>
        <v>0</v>
      </c>
      <c r="E127" s="192" t="s">
        <v>391</v>
      </c>
      <c r="F127" s="384" t="str">
        <f>IF(D127=0,"",IF(D127&lt;D124,"Does not meet sizing criteria",""))</f>
        <v/>
      </c>
      <c r="G127" s="385"/>
      <c r="H127" s="386"/>
    </row>
    <row r="128" spans="1:8" x14ac:dyDescent="0.25">
      <c r="A128" s="383"/>
      <c r="B128" s="383"/>
      <c r="C128" s="383"/>
      <c r="D128" s="383"/>
      <c r="E128" s="383"/>
      <c r="F128" s="383"/>
      <c r="G128" s="383"/>
      <c r="H128" s="383"/>
    </row>
    <row r="129" spans="1:8" ht="13" x14ac:dyDescent="0.3">
      <c r="A129" s="273" t="s">
        <v>372</v>
      </c>
      <c r="B129" s="273"/>
      <c r="C129" s="273"/>
      <c r="D129" s="273"/>
      <c r="E129" s="273"/>
      <c r="F129" s="273"/>
      <c r="G129" s="273"/>
      <c r="H129" s="273"/>
    </row>
    <row r="130" spans="1:8" ht="13" x14ac:dyDescent="0.25">
      <c r="A130" s="335" t="s">
        <v>241</v>
      </c>
      <c r="B130" s="335"/>
      <c r="C130" s="335"/>
      <c r="D130" s="143">
        <f>IF(B121="",0,IF(D127&lt;D124,0,IF(D127&gt;D124,F121*1)))</f>
        <v>0</v>
      </c>
      <c r="E130" s="310" t="s">
        <v>2</v>
      </c>
      <c r="F130" s="311"/>
      <c r="G130" s="311"/>
      <c r="H130" s="312"/>
    </row>
  </sheetData>
  <sheetProtection algorithmName="SHA-512" hashValue="uMN8ivmLZhM5PMjUSexCLcLaXma9OkChejnIvFGs8Mi+aNP8T/3TIrHAPAO/1EIw6xjLZB5GjtM6ckYsIEHlUg==" saltValue="GN6AuP4drV0E9omnpue6zQ==" spinCount="100000" sheet="1" formatColumns="0" formatRows="0"/>
  <mergeCells count="163">
    <mergeCell ref="A128:H128"/>
    <mergeCell ref="A129:H129"/>
    <mergeCell ref="A130:C130"/>
    <mergeCell ref="E130:H130"/>
    <mergeCell ref="A125:C125"/>
    <mergeCell ref="F125:H125"/>
    <mergeCell ref="A126:C126"/>
    <mergeCell ref="F126:H126"/>
    <mergeCell ref="A127:C127"/>
    <mergeCell ref="F127:H127"/>
    <mergeCell ref="A122:H122"/>
    <mergeCell ref="A123:C123"/>
    <mergeCell ref="F123:H123"/>
    <mergeCell ref="A124:C124"/>
    <mergeCell ref="F124:H124"/>
    <mergeCell ref="A115:H115"/>
    <mergeCell ref="A116:H116"/>
    <mergeCell ref="A117:C117"/>
    <mergeCell ref="E117:H117"/>
    <mergeCell ref="A119:H119"/>
    <mergeCell ref="A112:C112"/>
    <mergeCell ref="F112:H112"/>
    <mergeCell ref="A113:C113"/>
    <mergeCell ref="F113:H113"/>
    <mergeCell ref="A114:C114"/>
    <mergeCell ref="F114:H114"/>
    <mergeCell ref="A109:H109"/>
    <mergeCell ref="A110:C110"/>
    <mergeCell ref="F110:H110"/>
    <mergeCell ref="A111:C111"/>
    <mergeCell ref="F111:H111"/>
    <mergeCell ref="A102:H102"/>
    <mergeCell ref="A103:H103"/>
    <mergeCell ref="A104:C104"/>
    <mergeCell ref="E104:H104"/>
    <mergeCell ref="A106:H106"/>
    <mergeCell ref="A99:C99"/>
    <mergeCell ref="F99:H99"/>
    <mergeCell ref="A100:C100"/>
    <mergeCell ref="F100:H100"/>
    <mergeCell ref="A101:C101"/>
    <mergeCell ref="F101:H101"/>
    <mergeCell ref="A96:H96"/>
    <mergeCell ref="A97:C97"/>
    <mergeCell ref="F97:H97"/>
    <mergeCell ref="A98:C98"/>
    <mergeCell ref="F98:H98"/>
    <mergeCell ref="A89:H89"/>
    <mergeCell ref="A90:H90"/>
    <mergeCell ref="A91:C91"/>
    <mergeCell ref="E91:H91"/>
    <mergeCell ref="A93:H93"/>
    <mergeCell ref="A86:C86"/>
    <mergeCell ref="F86:H86"/>
    <mergeCell ref="A87:C87"/>
    <mergeCell ref="F87:H87"/>
    <mergeCell ref="A88:C88"/>
    <mergeCell ref="F88:H88"/>
    <mergeCell ref="A83:H83"/>
    <mergeCell ref="A84:C84"/>
    <mergeCell ref="F84:H84"/>
    <mergeCell ref="A85:C85"/>
    <mergeCell ref="F85:H85"/>
    <mergeCell ref="A77:H77"/>
    <mergeCell ref="A78:C78"/>
    <mergeCell ref="E78:H78"/>
    <mergeCell ref="A80:H80"/>
    <mergeCell ref="A73:C73"/>
    <mergeCell ref="F73:H73"/>
    <mergeCell ref="A74:C74"/>
    <mergeCell ref="F74:H74"/>
    <mergeCell ref="A75:C75"/>
    <mergeCell ref="F75:H75"/>
    <mergeCell ref="A70:H70"/>
    <mergeCell ref="A71:C71"/>
    <mergeCell ref="F71:H71"/>
    <mergeCell ref="A72:C72"/>
    <mergeCell ref="F72:H72"/>
    <mergeCell ref="A64:H64"/>
    <mergeCell ref="A65:C65"/>
    <mergeCell ref="E65:H65"/>
    <mergeCell ref="A76:H76"/>
    <mergeCell ref="A61:C61"/>
    <mergeCell ref="F61:H61"/>
    <mergeCell ref="A62:C62"/>
    <mergeCell ref="F62:H62"/>
    <mergeCell ref="A58:C58"/>
    <mergeCell ref="F58:H58"/>
    <mergeCell ref="A59:C59"/>
    <mergeCell ref="F59:H59"/>
    <mergeCell ref="A67:H67"/>
    <mergeCell ref="A63:H63"/>
    <mergeCell ref="A60:C60"/>
    <mergeCell ref="F60:H60"/>
    <mergeCell ref="A45:C45"/>
    <mergeCell ref="A44:H44"/>
    <mergeCell ref="A41:H41"/>
    <mergeCell ref="A54:H54"/>
    <mergeCell ref="A57:H57"/>
    <mergeCell ref="A32:C32"/>
    <mergeCell ref="A31:H31"/>
    <mergeCell ref="A28:H28"/>
    <mergeCell ref="E52:H52"/>
    <mergeCell ref="A52:C52"/>
    <mergeCell ref="A51:H51"/>
    <mergeCell ref="A50:H50"/>
    <mergeCell ref="F49:H49"/>
    <mergeCell ref="A49:C49"/>
    <mergeCell ref="F48:H48"/>
    <mergeCell ref="A48:C48"/>
    <mergeCell ref="F47:H47"/>
    <mergeCell ref="A47:C47"/>
    <mergeCell ref="F46:H46"/>
    <mergeCell ref="A46:C46"/>
    <mergeCell ref="F45:H45"/>
    <mergeCell ref="A25:H25"/>
    <mergeCell ref="A26:C26"/>
    <mergeCell ref="E26:H26"/>
    <mergeCell ref="E39:H39"/>
    <mergeCell ref="A39:C39"/>
    <mergeCell ref="A38:H38"/>
    <mergeCell ref="A37:H37"/>
    <mergeCell ref="F36:H36"/>
    <mergeCell ref="A36:C36"/>
    <mergeCell ref="F35:H35"/>
    <mergeCell ref="A35:C35"/>
    <mergeCell ref="F34:H34"/>
    <mergeCell ref="A34:C34"/>
    <mergeCell ref="F33:H33"/>
    <mergeCell ref="A33:C33"/>
    <mergeCell ref="F32:H32"/>
    <mergeCell ref="A22:C22"/>
    <mergeCell ref="F22:H22"/>
    <mergeCell ref="A23:C23"/>
    <mergeCell ref="F23:H23"/>
    <mergeCell ref="A24:H24"/>
    <mergeCell ref="A19:C19"/>
    <mergeCell ref="F19:H19"/>
    <mergeCell ref="A20:C20"/>
    <mergeCell ref="F20:H20"/>
    <mergeCell ref="A21:C21"/>
    <mergeCell ref="F21:H21"/>
    <mergeCell ref="F8:H8"/>
    <mergeCell ref="F6:H6"/>
    <mergeCell ref="A6:C6"/>
    <mergeCell ref="A15:H15"/>
    <mergeCell ref="A18:H18"/>
    <mergeCell ref="I2:J2"/>
    <mergeCell ref="I3:J3"/>
    <mergeCell ref="I4:J4"/>
    <mergeCell ref="E13:H13"/>
    <mergeCell ref="A13:C13"/>
    <mergeCell ref="A2:H2"/>
    <mergeCell ref="A12:H12"/>
    <mergeCell ref="A5:H5"/>
    <mergeCell ref="A11:H11"/>
    <mergeCell ref="A7:C7"/>
    <mergeCell ref="A10:C10"/>
    <mergeCell ref="F7:H7"/>
    <mergeCell ref="F10:H10"/>
    <mergeCell ref="A8:C8"/>
    <mergeCell ref="A9:C9"/>
    <mergeCell ref="F9:H9"/>
  </mergeCells>
  <dataValidations count="3">
    <dataValidation type="list" showInputMessage="1" showErrorMessage="1" promptTitle="Choose Area" sqref="A4 A43 A17 A30 A56 A69 A82 A95 A108 A121" xr:uid="{00000000-0002-0000-0900-000000000000}">
      <formula1>CatchNo</formula1>
    </dataValidation>
    <dataValidation type="whole" operator="greaterThan" allowBlank="1" showInputMessage="1" showErrorMessage="1" sqref="D8 D21 D34 D47 D60 D73 D86 D99 D112 D125" xr:uid="{82004342-C5D3-4FB3-99D5-A9FB6EF7133B}">
      <formula1>0</formula1>
    </dataValidation>
    <dataValidation type="decimal" operator="greaterThan" allowBlank="1" showInputMessage="1" showErrorMessage="1" sqref="D9 D22 D35 D48 D61 D74 D87 D100 D113 D126" xr:uid="{C56D88B7-A6FA-4E71-A03E-8909569C32BF}">
      <formula1>0</formula1>
    </dataValidation>
  </dataValidations>
  <pageMargins left="0.5" right="0.5" top="0.75" bottom="0.5" header="0.3" footer="0.3"/>
  <pageSetup paperSize="278" orientation="portrait" r:id="rId1"/>
  <headerFooter>
    <oddHeader>&amp;C&amp;"Arial,Regular"&amp;18Rainwater Harvesting System (RR-8)</oddHeader>
  </headerFooter>
  <rowBreaks count="10" manualBreakCount="10">
    <brk id="13" max="16383" man="1"/>
    <brk id="26" max="16383" man="1"/>
    <brk id="39" max="16383" man="1"/>
    <brk id="52" max="16383" man="1"/>
    <brk id="65" max="16383" man="1"/>
    <brk id="78" max="16383" man="1"/>
    <brk id="91" max="16383" man="1"/>
    <brk id="104" max="16383" man="1"/>
    <brk id="117" max="16383" man="1"/>
    <brk id="13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P389"/>
  <sheetViews>
    <sheetView view="pageLayout" zoomScaleNormal="100" workbookViewId="0">
      <selection activeCell="L21" sqref="L21"/>
    </sheetView>
  </sheetViews>
  <sheetFormatPr defaultColWidth="9.1796875" defaultRowHeight="12.5" zeroHeight="1" x14ac:dyDescent="0.35"/>
  <cols>
    <col min="1" max="1" width="12.7265625" style="12" customWidth="1"/>
    <col min="2" max="2" width="14.1796875" style="12" customWidth="1"/>
    <col min="3" max="4" width="10.7265625" style="12" customWidth="1"/>
    <col min="5" max="6" width="7.54296875" style="12" customWidth="1"/>
    <col min="7" max="7" width="12.54296875" style="12" customWidth="1"/>
    <col min="8" max="8" width="14.54296875" style="12" customWidth="1"/>
    <col min="9" max="16384" width="9.1796875" style="12"/>
  </cols>
  <sheetData>
    <row r="1" spans="1:12" ht="18" customHeight="1" x14ac:dyDescent="0.35">
      <c r="A1" s="16" t="s">
        <v>56</v>
      </c>
      <c r="B1" s="225" t="str">
        <f>IF('STEP 2-WQv Calculation'!$B$4="","",'STEP 2-WQv Calculation'!$B$4)</f>
        <v/>
      </c>
      <c r="C1" s="199"/>
      <c r="D1" s="199"/>
      <c r="E1" s="199"/>
      <c r="F1" s="199"/>
      <c r="G1" s="199"/>
      <c r="H1" s="199"/>
    </row>
    <row r="2" spans="1:12" ht="13" x14ac:dyDescent="0.35">
      <c r="A2" s="241" t="s">
        <v>293</v>
      </c>
      <c r="B2" s="241"/>
      <c r="C2" s="241"/>
      <c r="D2" s="241"/>
      <c r="E2" s="241"/>
      <c r="F2" s="241"/>
      <c r="G2" s="241"/>
      <c r="H2" s="241"/>
      <c r="I2" s="255" t="s">
        <v>219</v>
      </c>
      <c r="J2" s="256"/>
      <c r="K2" s="49">
        <f>SUM(B4,B35,B66,B97,B128,B159,B190,B221,B252,B283)</f>
        <v>0</v>
      </c>
      <c r="L2" s="12" t="s">
        <v>223</v>
      </c>
    </row>
    <row r="3" spans="1:12" ht="46.75" customHeight="1" x14ac:dyDescent="0.35">
      <c r="A3" s="204" t="s">
        <v>60</v>
      </c>
      <c r="B3" s="205" t="s">
        <v>61</v>
      </c>
      <c r="C3" s="205" t="s">
        <v>62</v>
      </c>
      <c r="D3" s="205" t="s">
        <v>63</v>
      </c>
      <c r="E3" s="205" t="s">
        <v>64</v>
      </c>
      <c r="F3" s="205" t="s">
        <v>65</v>
      </c>
      <c r="G3" s="205" t="s">
        <v>244</v>
      </c>
      <c r="H3" s="206" t="s">
        <v>13</v>
      </c>
      <c r="I3" s="255" t="s">
        <v>245</v>
      </c>
      <c r="J3" s="256"/>
      <c r="K3" s="21">
        <f>SUM(C4,C35,C66,C97,C128,C159,C190,C221,C252,C283)</f>
        <v>0</v>
      </c>
      <c r="L3" s="12" t="s">
        <v>223</v>
      </c>
    </row>
    <row r="4" spans="1:12"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c r="I4" s="255" t="s">
        <v>227</v>
      </c>
      <c r="J4" s="256"/>
      <c r="K4" s="28">
        <f>SUM(D31,D62,D93,D124,D155,D186,D217,D248,D279,D310)</f>
        <v>0</v>
      </c>
      <c r="L4" s="12" t="s">
        <v>2</v>
      </c>
    </row>
    <row r="5" spans="1:12" s="1" customFormat="1" ht="28.15" customHeight="1" x14ac:dyDescent="0.35">
      <c r="A5" s="322" t="s">
        <v>396</v>
      </c>
      <c r="B5" s="323"/>
      <c r="C5" s="324"/>
      <c r="D5" s="364" t="s">
        <v>419</v>
      </c>
      <c r="E5" s="365"/>
      <c r="F5" s="365"/>
      <c r="G5" s="365"/>
      <c r="H5" s="366"/>
      <c r="I5" s="4"/>
    </row>
    <row r="6" spans="1:12" s="1" customFormat="1" ht="15" customHeight="1" x14ac:dyDescent="0.35">
      <c r="A6" s="273" t="s">
        <v>226</v>
      </c>
      <c r="B6" s="273"/>
      <c r="C6" s="273"/>
      <c r="D6" s="273"/>
      <c r="E6" s="273"/>
      <c r="F6" s="273"/>
      <c r="G6" s="273"/>
      <c r="H6" s="273"/>
      <c r="I6" s="4"/>
    </row>
    <row r="7" spans="1:12" s="1" customFormat="1" ht="40.9" customHeight="1" x14ac:dyDescent="0.35">
      <c r="A7" s="242" t="s">
        <v>397</v>
      </c>
      <c r="B7" s="243"/>
      <c r="C7" s="244"/>
      <c r="D7" s="44"/>
      <c r="E7" s="322" t="str">
        <f>IF(D7="","",IF(D7&lt;0.5,"Does not meet design criteria",IF(D7&lt;2,"Underdrains required","")))</f>
        <v/>
      </c>
      <c r="F7" s="323"/>
      <c r="G7" s="323"/>
      <c r="H7" s="324"/>
      <c r="I7" s="4"/>
    </row>
    <row r="8" spans="1:12" s="1" customFormat="1" ht="14.5" x14ac:dyDescent="0.35">
      <c r="A8" s="245" t="s">
        <v>247</v>
      </c>
      <c r="B8" s="245"/>
      <c r="C8" s="245"/>
      <c r="D8" s="211"/>
      <c r="E8" s="322" t="str">
        <f>IF(D8="Yes","Does not meet design criteria","")</f>
        <v/>
      </c>
      <c r="F8" s="323"/>
      <c r="G8" s="323"/>
      <c r="H8" s="324"/>
      <c r="I8" s="4"/>
    </row>
    <row r="9" spans="1:12" s="1" customFormat="1" ht="26.5" customHeight="1" x14ac:dyDescent="0.35">
      <c r="A9" s="242" t="s">
        <v>398</v>
      </c>
      <c r="B9" s="243"/>
      <c r="C9" s="244"/>
      <c r="D9" s="211"/>
      <c r="E9" s="322" t="str">
        <f>IF(D9="No","Does not meet design criteria","")</f>
        <v/>
      </c>
      <c r="F9" s="323"/>
      <c r="G9" s="323"/>
      <c r="H9" s="324"/>
      <c r="I9" s="4"/>
    </row>
    <row r="10" spans="1:12" s="1" customFormat="1" ht="26.5" customHeight="1" x14ac:dyDescent="0.35">
      <c r="A10" s="242" t="s">
        <v>714</v>
      </c>
      <c r="B10" s="243"/>
      <c r="C10" s="244"/>
      <c r="D10" s="43"/>
      <c r="E10" s="322" t="str">
        <f>IF(D10&gt;10,"Does not meet design criteria","")</f>
        <v/>
      </c>
      <c r="F10" s="323"/>
      <c r="G10" s="323"/>
      <c r="H10" s="324"/>
      <c r="I10" s="4"/>
    </row>
    <row r="11" spans="1:12" s="1" customFormat="1" ht="28.5" customHeight="1" x14ac:dyDescent="0.35">
      <c r="A11" s="242" t="s">
        <v>713</v>
      </c>
      <c r="B11" s="243"/>
      <c r="C11" s="244"/>
      <c r="D11" s="43"/>
      <c r="E11" s="322" t="str">
        <f>IF(D11="","",IF(D11&lt;2,"Does not  meet design criteria",""))</f>
        <v/>
      </c>
      <c r="F11" s="323"/>
      <c r="G11" s="323"/>
      <c r="H11" s="324"/>
      <c r="I11" s="4"/>
    </row>
    <row r="12" spans="1:12" s="1" customFormat="1" ht="14.5" x14ac:dyDescent="0.35">
      <c r="A12" s="242" t="s">
        <v>297</v>
      </c>
      <c r="B12" s="243"/>
      <c r="C12" s="244"/>
      <c r="D12" s="43"/>
      <c r="E12" s="322" t="str">
        <f>IF(D12="","",IF(D12&lt;2,"Does not meet design criteria",""))</f>
        <v/>
      </c>
      <c r="F12" s="323"/>
      <c r="G12" s="323"/>
      <c r="H12" s="324"/>
      <c r="I12" s="4"/>
    </row>
    <row r="13" spans="1:12" s="1" customFormat="1" ht="15" customHeight="1" x14ac:dyDescent="0.35">
      <c r="A13" s="242" t="s">
        <v>378</v>
      </c>
      <c r="B13" s="243"/>
      <c r="C13" s="244"/>
      <c r="D13" s="43"/>
      <c r="E13" s="322" t="str">
        <f>IF(D13="","",IF(AND(D5="Level 1 Porous Asphalt",D13&lt;3),"Does not meet design criteria",IF(AND(D5="Level 2 Porous Asphalt",D13&lt;2),"Does not meet design criteria",IF(AND(D5="Porous Concrete",D13&lt;4),"Does not meet design criteria",""))))</f>
        <v/>
      </c>
      <c r="F13" s="323"/>
      <c r="G13" s="323"/>
      <c r="H13" s="324"/>
      <c r="I13" s="4"/>
    </row>
    <row r="14" spans="1:12" s="1" customFormat="1" ht="15.65" customHeight="1" x14ac:dyDescent="0.35">
      <c r="A14" s="242" t="s">
        <v>399</v>
      </c>
      <c r="B14" s="243"/>
      <c r="C14" s="244"/>
      <c r="D14" s="43"/>
      <c r="E14" s="322" t="str">
        <f>IF(D5="Level 1 Porous Asphalt","Not applicable",IF(AND(D5="Level 2 Porous Asphalt",D14&lt;3),"Does not meet design criteria",IF(D5="Porous Concrete","Not applicable",IF(D5="Porous Paver","Not applicable",""))))</f>
        <v>Does not meet design criteria</v>
      </c>
      <c r="F14" s="323"/>
      <c r="G14" s="323"/>
      <c r="H14" s="324"/>
      <c r="I14" s="4"/>
    </row>
    <row r="15" spans="1:12" s="1" customFormat="1" ht="15.65" customHeight="1" x14ac:dyDescent="0.35">
      <c r="A15" s="242" t="s">
        <v>400</v>
      </c>
      <c r="B15" s="243"/>
      <c r="C15" s="244"/>
      <c r="D15" s="43"/>
      <c r="E15" s="322" t="str">
        <f>IF(D5="Level 1 Porous Asphalt","Not applicable",IF((D5="Level 2 Porous Asphalt"),"Not Applicable",IF(D5="Porous Concrete","Not applicable",IF(D5="Porous Paver",IF(D15&lt;2,"Does not meet design criteria",""),""))))</f>
        <v>Not Applicable</v>
      </c>
      <c r="F15" s="323"/>
      <c r="G15" s="323"/>
      <c r="H15" s="324"/>
      <c r="I15" s="4"/>
    </row>
    <row r="16" spans="1:12" s="1" customFormat="1" ht="15.65" customHeight="1" x14ac:dyDescent="0.35">
      <c r="A16" s="242" t="s">
        <v>401</v>
      </c>
      <c r="B16" s="243"/>
      <c r="C16" s="244"/>
      <c r="D16" s="43"/>
      <c r="E16" s="322" t="str">
        <f>IF(D16="","",IF(D16&lt;1,"Does not meet design criteria",""))</f>
        <v/>
      </c>
      <c r="F16" s="323"/>
      <c r="G16" s="323"/>
      <c r="H16" s="324"/>
      <c r="I16" s="4"/>
    </row>
    <row r="17" spans="1:16" s="1" customFormat="1" ht="15.65" customHeight="1" x14ac:dyDescent="0.35">
      <c r="A17" s="242" t="s">
        <v>402</v>
      </c>
      <c r="B17" s="243"/>
      <c r="C17" s="244"/>
      <c r="D17" s="43"/>
      <c r="E17" s="322" t="str">
        <f>IF(D7="","",IF(AND(D7&lt;2,D17=""),"Required when underdrains are provided",IF(AND(D7&lt;2,D17&lt;10),"Does not meet design criteria","")))</f>
        <v/>
      </c>
      <c r="F17" s="323"/>
      <c r="G17" s="323"/>
      <c r="H17" s="324"/>
      <c r="I17" s="4"/>
    </row>
    <row r="18" spans="1:16" ht="15" customHeight="1" x14ac:dyDescent="0.35">
      <c r="A18" s="241" t="s">
        <v>232</v>
      </c>
      <c r="B18" s="241"/>
      <c r="C18" s="241"/>
      <c r="D18" s="241"/>
      <c r="E18" s="241"/>
      <c r="F18" s="241"/>
      <c r="G18" s="241"/>
      <c r="H18" s="241"/>
    </row>
    <row r="19" spans="1:16" s="34" customFormat="1" ht="15" customHeight="1" x14ac:dyDescent="0.3">
      <c r="A19" s="378"/>
      <c r="B19" s="379"/>
      <c r="C19" s="380"/>
      <c r="D19" s="222" t="s">
        <v>256</v>
      </c>
      <c r="E19" s="208" t="s">
        <v>257</v>
      </c>
      <c r="F19" s="375" t="s">
        <v>258</v>
      </c>
      <c r="G19" s="376"/>
      <c r="H19" s="377"/>
      <c r="I19" s="4"/>
      <c r="J19" s="4"/>
      <c r="K19" s="4"/>
      <c r="L19" s="4"/>
      <c r="M19" s="4"/>
      <c r="N19" s="4"/>
      <c r="O19" s="4"/>
      <c r="P19" s="4"/>
    </row>
    <row r="20" spans="1:16" x14ac:dyDescent="0.35">
      <c r="A20" s="289" t="s">
        <v>403</v>
      </c>
      <c r="B20" s="289"/>
      <c r="C20" s="198" t="s">
        <v>404</v>
      </c>
      <c r="D20" s="216"/>
      <c r="E20" s="193" t="s">
        <v>316</v>
      </c>
      <c r="F20" s="322"/>
      <c r="G20" s="323"/>
      <c r="H20" s="324"/>
    </row>
    <row r="21" spans="1:16" ht="15" customHeight="1" x14ac:dyDescent="0.35">
      <c r="A21" s="334" t="s">
        <v>405</v>
      </c>
      <c r="B21" s="334"/>
      <c r="C21" s="217" t="s">
        <v>268</v>
      </c>
      <c r="D21" s="22">
        <v>0.4</v>
      </c>
      <c r="E21" s="144"/>
      <c r="F21" s="387"/>
      <c r="G21" s="388"/>
      <c r="H21" s="389"/>
    </row>
    <row r="22" spans="1:16" ht="15" customHeight="1" x14ac:dyDescent="0.35">
      <c r="A22" s="334" t="s">
        <v>406</v>
      </c>
      <c r="B22" s="334"/>
      <c r="C22" s="217" t="s">
        <v>407</v>
      </c>
      <c r="D22" s="22" t="e">
        <f>ROUNDUP((F4/(D20*D21)),1)</f>
        <v>#VALUE!</v>
      </c>
      <c r="E22" s="144"/>
      <c r="F22" s="387"/>
      <c r="G22" s="388"/>
      <c r="H22" s="389"/>
    </row>
    <row r="23" spans="1:16" ht="15" customHeight="1" x14ac:dyDescent="0.35">
      <c r="A23" s="334" t="s">
        <v>408</v>
      </c>
      <c r="B23" s="334"/>
      <c r="C23" s="217" t="s">
        <v>407</v>
      </c>
      <c r="D23" s="22" t="e">
        <f>IF(AND(D5="Level 1 Porous Asphalt",D22&lt;0.67),0.67,IF(AND(D5="Level 2 Porous Asphalt",D22&lt;1),1,IF(AND(D5="Porous Concrete",D22&lt;0.67),0.67,IF(AND(D5="Porous Paver",D22&lt;0.67),0.67,""))))</f>
        <v>#VALUE!</v>
      </c>
      <c r="E23" s="144" t="s">
        <v>271</v>
      </c>
      <c r="F23" s="387"/>
      <c r="G23" s="388"/>
      <c r="H23" s="389"/>
    </row>
    <row r="24" spans="1:16" ht="24.75" customHeight="1" x14ac:dyDescent="0.35">
      <c r="A24" s="334" t="s">
        <v>409</v>
      </c>
      <c r="B24" s="334"/>
      <c r="C24" s="217" t="s">
        <v>407</v>
      </c>
      <c r="D24" s="216"/>
      <c r="E24" s="144" t="s">
        <v>271</v>
      </c>
      <c r="F24" s="387" t="str">
        <f>IF(D24="","",IF(D24&lt;MAX(D23,D22),"Does not meet design criteria",""))</f>
        <v/>
      </c>
      <c r="G24" s="388"/>
      <c r="H24" s="389"/>
    </row>
    <row r="25" spans="1:16" ht="31.15" customHeight="1" x14ac:dyDescent="0.35">
      <c r="A25" s="334" t="s">
        <v>410</v>
      </c>
      <c r="B25" s="334"/>
      <c r="C25" s="217" t="s">
        <v>411</v>
      </c>
      <c r="D25" s="217" t="e">
        <f>ROUNDUP(D20/D26,0)</f>
        <v>#DIV/0!</v>
      </c>
      <c r="E25" s="144" t="s">
        <v>271</v>
      </c>
      <c r="F25" s="387" t="str">
        <f>IF(D7&gt;=2,"Not required","")</f>
        <v/>
      </c>
      <c r="G25" s="388"/>
      <c r="H25" s="389"/>
    </row>
    <row r="26" spans="1:16" ht="27" customHeight="1" x14ac:dyDescent="0.35">
      <c r="A26" s="334" t="s">
        <v>412</v>
      </c>
      <c r="B26" s="334"/>
      <c r="C26" s="217" t="s">
        <v>214</v>
      </c>
      <c r="D26" s="30"/>
      <c r="E26" s="144" t="s">
        <v>271</v>
      </c>
      <c r="F26" s="387" t="str">
        <f>IF(D7&gt;=2,"Not required",IF(D26&gt;30,"Does not meet design criteria",""))</f>
        <v/>
      </c>
      <c r="G26" s="388"/>
      <c r="H26" s="389"/>
    </row>
    <row r="27" spans="1:16" ht="28.15" customHeight="1" x14ac:dyDescent="0.35">
      <c r="A27" s="334" t="s">
        <v>413</v>
      </c>
      <c r="B27" s="334"/>
      <c r="C27" s="217" t="s">
        <v>414</v>
      </c>
      <c r="D27" s="30"/>
      <c r="E27" s="144" t="s">
        <v>271</v>
      </c>
      <c r="F27" s="387" t="str">
        <f>IF(D7&gt;=2,"Not required","")</f>
        <v/>
      </c>
      <c r="G27" s="388"/>
      <c r="H27" s="389"/>
    </row>
    <row r="28" spans="1:16" ht="15" customHeight="1" x14ac:dyDescent="0.35">
      <c r="A28" s="334" t="s">
        <v>415</v>
      </c>
      <c r="B28" s="334"/>
      <c r="C28" s="217" t="s">
        <v>416</v>
      </c>
      <c r="D28" s="3" t="e">
        <f>ROUNDUP(D25/D27,0)</f>
        <v>#DIV/0!</v>
      </c>
      <c r="E28" s="144"/>
      <c r="F28" s="387" t="str">
        <f>IF(D7&gt;=2,"Not required","")</f>
        <v/>
      </c>
      <c r="G28" s="388"/>
      <c r="H28" s="389"/>
    </row>
    <row r="29" spans="1:16" ht="27" customHeight="1" x14ac:dyDescent="0.35">
      <c r="A29" s="334" t="s">
        <v>417</v>
      </c>
      <c r="B29" s="334"/>
      <c r="C29" s="217" t="s">
        <v>416</v>
      </c>
      <c r="D29" s="216"/>
      <c r="E29" s="144"/>
      <c r="F29" s="387" t="str">
        <f>IF(D29="","Not required",IF(D7&gt;=2,"Not required",IF(D29&lt;D28,"Does not meet design criteria","")))</f>
        <v>Not required</v>
      </c>
      <c r="G29" s="388"/>
      <c r="H29" s="389"/>
    </row>
    <row r="30" spans="1:16" s="145" customFormat="1" ht="15" customHeight="1" x14ac:dyDescent="0.35">
      <c r="A30" s="390" t="s">
        <v>418</v>
      </c>
      <c r="B30" s="390"/>
      <c r="C30" s="390"/>
      <c r="D30" s="390"/>
      <c r="E30" s="390"/>
      <c r="F30" s="390"/>
      <c r="G30" s="390"/>
      <c r="H30" s="390"/>
    </row>
    <row r="31" spans="1:16" ht="30" customHeight="1" x14ac:dyDescent="0.35">
      <c r="A31" s="310" t="s">
        <v>241</v>
      </c>
      <c r="B31" s="311"/>
      <c r="C31" s="312"/>
      <c r="D31" s="9" t="str">
        <f>IF(A4="","",IF(D7&lt;0.5,0,IF(D8="Yes",0,IF(D9="No",0,IF(D10&gt;10,0,IF(D11&lt;2,0,IF(D12&lt;2,0,IF(AND(D5="Level 1 Porous Asphalt",D13&lt;3),0,IF(AND(D5="Level 2 Porous Asphalt",D13&lt;2),0,IF(AND(D5="Porous Concrete",D13&lt;4),0,IF(AND(D5="Level 2 Porous Asphalt",D14&lt;3),0,IF(AND(D5="Porous Paver",D15&lt;2),0,IF(D16&lt;1,0,IF(AND(D7&lt;2,D17&lt;10),0,IF(D24&lt;MAX(D22,D23,0),0,IF(D7&lt;2,F4*0.4,IF(D7&gt;=2,F4*1)))))))))))))))))</f>
        <v/>
      </c>
      <c r="E31" s="310" t="s">
        <v>2</v>
      </c>
      <c r="F31" s="311"/>
      <c r="G31" s="311"/>
      <c r="H31" s="312"/>
    </row>
    <row r="32" spans="1:16" ht="13" x14ac:dyDescent="0.35">
      <c r="A32" s="16" t="s">
        <v>56</v>
      </c>
      <c r="B32" s="225" t="str">
        <f>IF('STEP 2-WQv Calculation'!$B$4="","",'STEP 2-WQv Calculation'!$B$4)</f>
        <v/>
      </c>
      <c r="C32" s="199"/>
      <c r="D32" s="199"/>
      <c r="E32" s="199"/>
      <c r="F32" s="199"/>
      <c r="G32" s="199"/>
      <c r="H32" s="199"/>
    </row>
    <row r="33" spans="1:8" ht="16.5" customHeight="1" x14ac:dyDescent="0.35">
      <c r="A33" s="241" t="s">
        <v>293</v>
      </c>
      <c r="B33" s="241"/>
      <c r="C33" s="241"/>
      <c r="D33" s="241"/>
      <c r="E33" s="241"/>
      <c r="F33" s="241"/>
      <c r="G33" s="241"/>
      <c r="H33" s="241"/>
    </row>
    <row r="34" spans="1:8" ht="38.5" x14ac:dyDescent="0.35">
      <c r="A34" s="204" t="s">
        <v>60</v>
      </c>
      <c r="B34" s="205" t="s">
        <v>61</v>
      </c>
      <c r="C34" s="205" t="s">
        <v>62</v>
      </c>
      <c r="D34" s="205" t="s">
        <v>63</v>
      </c>
      <c r="E34" s="205" t="s">
        <v>64</v>
      </c>
      <c r="F34" s="205" t="s">
        <v>65</v>
      </c>
      <c r="G34" s="205" t="s">
        <v>244</v>
      </c>
      <c r="H34" s="206" t="s">
        <v>13</v>
      </c>
    </row>
    <row r="35" spans="1:8" x14ac:dyDescent="0.35">
      <c r="A35" s="218"/>
      <c r="B35" s="3" t="str">
        <f>IF($A35="","",(LOOKUP($A35,'STEP 2-WQv Calculation'!$A$8:$A$37,'STEP 2-WQv Calculation'!$B$8:$B$37)))</f>
        <v/>
      </c>
      <c r="C35" s="3" t="str">
        <f>IF($A35="","",(LOOKUP($A35,'STEP 2-WQv Calculation'!$A$8:$A$37,'STEP 2-WQv Calculation'!$C$8:$C$37)))</f>
        <v/>
      </c>
      <c r="D35" s="212" t="str">
        <f>IF($A35="","",(LOOKUP($A35,'STEP 2-WQv Calculation'!$A$8:$A$37,'STEP 2-WQv Calculation'!$D$8:$D$37)))</f>
        <v/>
      </c>
      <c r="E35" s="3" t="str">
        <f>IF($A35="","",(LOOKUP($A35,'STEP 2-WQv Calculation'!$A$8:$A$37,'STEP 2-WQv Calculation'!$E$8:$E$37)))</f>
        <v/>
      </c>
      <c r="F35" s="217" t="str">
        <f>IF($A35="","",(LOOKUP($A35,'STEP 2-WQv Calculation'!$A$8:$A$37,'STEP 2-WQv Calculation'!$F$8:$F$37)))</f>
        <v/>
      </c>
      <c r="G35" s="22">
        <f>'STEP 2-WQv Calculation'!B5</f>
        <v>0</v>
      </c>
      <c r="H35" s="198" t="str">
        <f>IF($A35="","",(LOOKUP($A35,'STEP 2-WQv Calculation'!$A$8:$A$37,'STEP 2-WQv Calculation'!$G$8:$G$37)))</f>
        <v/>
      </c>
    </row>
    <row r="36" spans="1:8" ht="16.5" customHeight="1" x14ac:dyDescent="0.35">
      <c r="A36" s="242" t="s">
        <v>396</v>
      </c>
      <c r="B36" s="243"/>
      <c r="C36" s="244"/>
      <c r="D36" s="364" t="s">
        <v>419</v>
      </c>
      <c r="E36" s="365"/>
      <c r="F36" s="365"/>
      <c r="G36" s="365"/>
      <c r="H36" s="366"/>
    </row>
    <row r="37" spans="1:8" ht="16.5" customHeight="1" x14ac:dyDescent="0.3">
      <c r="A37" s="273" t="s">
        <v>226</v>
      </c>
      <c r="B37" s="273"/>
      <c r="C37" s="273"/>
      <c r="D37" s="273"/>
      <c r="E37" s="273"/>
      <c r="F37" s="273"/>
      <c r="G37" s="273"/>
      <c r="H37" s="273"/>
    </row>
    <row r="38" spans="1:8" ht="41.25" customHeight="1" x14ac:dyDescent="0.35">
      <c r="A38" s="242" t="s">
        <v>397</v>
      </c>
      <c r="B38" s="243"/>
      <c r="C38" s="244"/>
      <c r="D38" s="44"/>
      <c r="E38" s="322" t="str">
        <f>IF(D38="","",IF(D38&lt;0.5,"Does not meet design criteria",IF(D38&lt;2,"Underdrains required","")))</f>
        <v/>
      </c>
      <c r="F38" s="323"/>
      <c r="G38" s="323"/>
      <c r="H38" s="324"/>
    </row>
    <row r="39" spans="1:8" ht="13.15" customHeight="1" x14ac:dyDescent="0.35">
      <c r="A39" s="245" t="s">
        <v>247</v>
      </c>
      <c r="B39" s="245"/>
      <c r="C39" s="245"/>
      <c r="D39" s="211"/>
      <c r="E39" s="322" t="str">
        <f>IF(D39="Yes","Does not meet design criteria","")</f>
        <v/>
      </c>
      <c r="F39" s="323"/>
      <c r="G39" s="323"/>
      <c r="H39" s="324"/>
    </row>
    <row r="40" spans="1:8" ht="27" customHeight="1" x14ac:dyDescent="0.35">
      <c r="A40" s="242" t="s">
        <v>398</v>
      </c>
      <c r="B40" s="243"/>
      <c r="C40" s="244"/>
      <c r="D40" s="211"/>
      <c r="E40" s="322" t="str">
        <f>IF(D40="No","Does not meet design criteria","")</f>
        <v/>
      </c>
      <c r="F40" s="323"/>
      <c r="G40" s="323"/>
      <c r="H40" s="324"/>
    </row>
    <row r="41" spans="1:8" ht="27.75" customHeight="1" x14ac:dyDescent="0.35">
      <c r="A41" s="242" t="s">
        <v>714</v>
      </c>
      <c r="B41" s="243"/>
      <c r="C41" s="244"/>
      <c r="D41" s="43"/>
      <c r="E41" s="322" t="str">
        <f>IF(D41&gt;10,"Does not meet design criteria","")</f>
        <v/>
      </c>
      <c r="F41" s="323"/>
      <c r="G41" s="323"/>
      <c r="H41" s="324"/>
    </row>
    <row r="42" spans="1:8" ht="26.25" customHeight="1" x14ac:dyDescent="0.35">
      <c r="A42" s="242" t="s">
        <v>713</v>
      </c>
      <c r="B42" s="243"/>
      <c r="C42" s="244"/>
      <c r="D42" s="43"/>
      <c r="E42" s="322" t="str">
        <f>IF(D42="","",IF(D42&lt;2,"Does not  meet design criteria",""))</f>
        <v/>
      </c>
      <c r="F42" s="323"/>
      <c r="G42" s="323"/>
      <c r="H42" s="324"/>
    </row>
    <row r="43" spans="1:8" ht="13.15" customHeight="1" x14ac:dyDescent="0.35">
      <c r="A43" s="242" t="s">
        <v>297</v>
      </c>
      <c r="B43" s="243"/>
      <c r="C43" s="244"/>
      <c r="D43" s="43"/>
      <c r="E43" s="322" t="str">
        <f>IF(D43="","",IF(D43&lt;2,"Does not meet design criteria",""))</f>
        <v/>
      </c>
      <c r="F43" s="323"/>
      <c r="G43" s="323"/>
      <c r="H43" s="324"/>
    </row>
    <row r="44" spans="1:8" ht="13.15" customHeight="1" x14ac:dyDescent="0.35">
      <c r="A44" s="242" t="s">
        <v>378</v>
      </c>
      <c r="B44" s="243"/>
      <c r="C44" s="244"/>
      <c r="D44" s="43"/>
      <c r="E44" s="322" t="str">
        <f>IF(D44="","",IF(AND(D36="Level 1 Porous Asphalt",D44&lt;3),"Does not meet design criteria",IF(AND(D36="Level 2 Porous Asphalt",D44&lt;2),"Does not meet design criteria",IF(AND(D36="Porous Concrete",D44&lt;4),"Does not meet design criteria",""))))</f>
        <v/>
      </c>
      <c r="F44" s="323"/>
      <c r="G44" s="323"/>
      <c r="H44" s="324"/>
    </row>
    <row r="45" spans="1:8" ht="13.15" customHeight="1" x14ac:dyDescent="0.35">
      <c r="A45" s="242" t="s">
        <v>399</v>
      </c>
      <c r="B45" s="243"/>
      <c r="C45" s="244"/>
      <c r="D45" s="43"/>
      <c r="E45" s="322" t="str">
        <f>IF(D36="Level 1 Porous Asphalt","Not applicable",IF(AND(D36="Level 2 Porous Asphalt",D45&lt;3),"Does not meet design criteria",IF(D36="Porous Concrete","Not applicable",IF(D36="Porous Paver","Not applicable",""))))</f>
        <v>Does not meet design criteria</v>
      </c>
      <c r="F45" s="323"/>
      <c r="G45" s="323"/>
      <c r="H45" s="324"/>
    </row>
    <row r="46" spans="1:8" ht="13.15" customHeight="1" x14ac:dyDescent="0.35">
      <c r="A46" s="242" t="s">
        <v>400</v>
      </c>
      <c r="B46" s="243"/>
      <c r="C46" s="244"/>
      <c r="D46" s="43"/>
      <c r="E46" s="322" t="str">
        <f>IF(D36="Level 1 Porous Asphalt","Not applicable",IF((D36="Level 2 Porous Asphalt"),"Not Applicable",IF(D36="Porous Concrete","Not applicable",IF(D36="Porous Paver",IF(D46&lt;2,"Does not meet design criteria",""),""))))</f>
        <v>Not Applicable</v>
      </c>
      <c r="F46" s="323"/>
      <c r="G46" s="323"/>
      <c r="H46" s="324"/>
    </row>
    <row r="47" spans="1:8" ht="13.15" customHeight="1" x14ac:dyDescent="0.35">
      <c r="A47" s="242" t="s">
        <v>401</v>
      </c>
      <c r="B47" s="243"/>
      <c r="C47" s="244"/>
      <c r="D47" s="43"/>
      <c r="E47" s="322" t="str">
        <f>IF(D47="","",IF(D47&lt;1,"Does not meet design criteria",""))</f>
        <v/>
      </c>
      <c r="F47" s="323"/>
      <c r="G47" s="323"/>
      <c r="H47" s="324"/>
    </row>
    <row r="48" spans="1:8" ht="13.15" customHeight="1" x14ac:dyDescent="0.35">
      <c r="A48" s="242" t="s">
        <v>402</v>
      </c>
      <c r="B48" s="243"/>
      <c r="C48" s="244"/>
      <c r="D48" s="43"/>
      <c r="E48" s="322" t="str">
        <f>IF(D38="","",IF(AND(D38&lt;2,D48=""),"Required when underdrains are provided",IF(AND(D38&lt;2,D48&lt;10),"Does not meet design criteria","")))</f>
        <v/>
      </c>
      <c r="F48" s="323"/>
      <c r="G48" s="323"/>
      <c r="H48" s="324"/>
    </row>
    <row r="49" spans="1:8" ht="13.15" customHeight="1" x14ac:dyDescent="0.35">
      <c r="A49" s="241" t="s">
        <v>232</v>
      </c>
      <c r="B49" s="241"/>
      <c r="C49" s="241"/>
      <c r="D49" s="241"/>
      <c r="E49" s="241"/>
      <c r="F49" s="241"/>
      <c r="G49" s="241"/>
      <c r="H49" s="241"/>
    </row>
    <row r="50" spans="1:8" x14ac:dyDescent="0.35">
      <c r="A50" s="378"/>
      <c r="B50" s="379"/>
      <c r="C50" s="380"/>
      <c r="D50" s="222" t="s">
        <v>256</v>
      </c>
      <c r="E50" s="208" t="s">
        <v>257</v>
      </c>
      <c r="F50" s="375" t="s">
        <v>258</v>
      </c>
      <c r="G50" s="376"/>
      <c r="H50" s="377"/>
    </row>
    <row r="51" spans="1:8" ht="13.15" customHeight="1" x14ac:dyDescent="0.35">
      <c r="A51" s="289" t="s">
        <v>403</v>
      </c>
      <c r="B51" s="289"/>
      <c r="C51" s="198" t="s">
        <v>404</v>
      </c>
      <c r="D51" s="216"/>
      <c r="E51" s="193" t="s">
        <v>316</v>
      </c>
      <c r="F51" s="322"/>
      <c r="G51" s="323"/>
      <c r="H51" s="324"/>
    </row>
    <row r="52" spans="1:8" x14ac:dyDescent="0.35">
      <c r="A52" s="334" t="s">
        <v>405</v>
      </c>
      <c r="B52" s="334"/>
      <c r="C52" s="217" t="s">
        <v>268</v>
      </c>
      <c r="D52" s="22">
        <v>0.4</v>
      </c>
      <c r="E52" s="144"/>
      <c r="F52" s="387"/>
      <c r="G52" s="388"/>
      <c r="H52" s="389"/>
    </row>
    <row r="53" spans="1:8" ht="13.15" customHeight="1" x14ac:dyDescent="0.35">
      <c r="A53" s="334" t="s">
        <v>406</v>
      </c>
      <c r="B53" s="334"/>
      <c r="C53" s="217" t="s">
        <v>407</v>
      </c>
      <c r="D53" s="22" t="e">
        <f>ROUNDUP((F35/(D51*D52)),1)</f>
        <v>#VALUE!</v>
      </c>
      <c r="E53" s="144" t="s">
        <v>271</v>
      </c>
      <c r="F53" s="387"/>
      <c r="G53" s="388"/>
      <c r="H53" s="389"/>
    </row>
    <row r="54" spans="1:8" ht="13.15" customHeight="1" x14ac:dyDescent="0.35">
      <c r="A54" s="334" t="s">
        <v>408</v>
      </c>
      <c r="B54" s="334"/>
      <c r="C54" s="217" t="s">
        <v>407</v>
      </c>
      <c r="D54" s="22" t="e">
        <f>IF(AND(D36="Level 1 Porous Asphalt",D53&lt;0.67),0.67,IF(AND(D36="Level 2 Porous Asphalt",D53&lt;1),1,IF(AND(D36="Porous Concrete",D53&lt;0.67),0.67,IF(AND(D36="Porous Paver",D53&lt;0.67),0.67,""))))</f>
        <v>#VALUE!</v>
      </c>
      <c r="E54" s="144" t="s">
        <v>271</v>
      </c>
      <c r="F54" s="387"/>
      <c r="G54" s="388"/>
      <c r="H54" s="389"/>
    </row>
    <row r="55" spans="1:8" ht="27" customHeight="1" x14ac:dyDescent="0.35">
      <c r="A55" s="334" t="s">
        <v>409</v>
      </c>
      <c r="B55" s="334"/>
      <c r="C55" s="217" t="s">
        <v>407</v>
      </c>
      <c r="D55" s="216"/>
      <c r="E55" s="144" t="s">
        <v>271</v>
      </c>
      <c r="F55" s="387" t="str">
        <f>IF(D55="","",IF(D55&lt;MAX(D54,D53),"Does not meet design criteria",""))</f>
        <v/>
      </c>
      <c r="G55" s="388"/>
      <c r="H55" s="389"/>
    </row>
    <row r="56" spans="1:8" ht="24.75" customHeight="1" x14ac:dyDescent="0.35">
      <c r="A56" s="334" t="s">
        <v>410</v>
      </c>
      <c r="B56" s="334"/>
      <c r="C56" s="217" t="s">
        <v>411</v>
      </c>
      <c r="D56" s="217" t="e">
        <f>ROUNDUP(D51/D57,0)</f>
        <v>#DIV/0!</v>
      </c>
      <c r="E56" s="144" t="s">
        <v>271</v>
      </c>
      <c r="F56" s="387" t="str">
        <f>IF(D38&gt;=2,"Not required","")</f>
        <v/>
      </c>
      <c r="G56" s="388"/>
      <c r="H56" s="389"/>
    </row>
    <row r="57" spans="1:8" ht="24.75" customHeight="1" x14ac:dyDescent="0.35">
      <c r="A57" s="334" t="s">
        <v>412</v>
      </c>
      <c r="B57" s="334"/>
      <c r="C57" s="217" t="s">
        <v>214</v>
      </c>
      <c r="D57" s="30"/>
      <c r="E57" s="144" t="s">
        <v>271</v>
      </c>
      <c r="F57" s="387" t="str">
        <f>IF(D38&gt;=2,"Not required",IF(D57&gt;30,"Does not meet design criteria",""))</f>
        <v/>
      </c>
      <c r="G57" s="388"/>
      <c r="H57" s="389"/>
    </row>
    <row r="58" spans="1:8" ht="25.5" customHeight="1" x14ac:dyDescent="0.35">
      <c r="A58" s="334" t="s">
        <v>413</v>
      </c>
      <c r="B58" s="334"/>
      <c r="C58" s="217" t="s">
        <v>414</v>
      </c>
      <c r="D58" s="30"/>
      <c r="E58" s="144" t="s">
        <v>271</v>
      </c>
      <c r="F58" s="387" t="str">
        <f>IF(D38&gt;=2,"Not required","")</f>
        <v/>
      </c>
      <c r="G58" s="388"/>
      <c r="H58" s="389"/>
    </row>
    <row r="59" spans="1:8" ht="12.75" customHeight="1" x14ac:dyDescent="0.35">
      <c r="A59" s="334" t="s">
        <v>415</v>
      </c>
      <c r="B59" s="334"/>
      <c r="C59" s="217" t="s">
        <v>416</v>
      </c>
      <c r="D59" s="3" t="e">
        <f>ROUNDUP(D56/D58,0)</f>
        <v>#DIV/0!</v>
      </c>
      <c r="E59" s="144"/>
      <c r="F59" s="387" t="str">
        <f>IF(D38&gt;=2,"Not required","")</f>
        <v/>
      </c>
      <c r="G59" s="388"/>
      <c r="H59" s="389"/>
    </row>
    <row r="60" spans="1:8" ht="25.5" customHeight="1" x14ac:dyDescent="0.35">
      <c r="A60" s="334" t="s">
        <v>417</v>
      </c>
      <c r="B60" s="334"/>
      <c r="C60" s="217" t="s">
        <v>416</v>
      </c>
      <c r="D60" s="216"/>
      <c r="E60" s="144"/>
      <c r="F60" s="387" t="str">
        <f>IF(D60="","Not required",IF(D38&gt;=2,"Not required",IF(D60&lt;D59,"Does not meet design criteria","")))</f>
        <v>Not required</v>
      </c>
      <c r="G60" s="388"/>
      <c r="H60" s="389"/>
    </row>
    <row r="61" spans="1:8" ht="13.15" customHeight="1" x14ac:dyDescent="0.35">
      <c r="A61" s="390" t="s">
        <v>418</v>
      </c>
      <c r="B61" s="390"/>
      <c r="C61" s="390"/>
      <c r="D61" s="390"/>
      <c r="E61" s="390"/>
      <c r="F61" s="390"/>
      <c r="G61" s="390"/>
      <c r="H61" s="390"/>
    </row>
    <row r="62" spans="1:8" ht="13.15" customHeight="1" x14ac:dyDescent="0.35">
      <c r="A62" s="310" t="s">
        <v>241</v>
      </c>
      <c r="B62" s="311"/>
      <c r="C62" s="312"/>
      <c r="D62" s="9" t="str">
        <f>IF(A35="","",IF(D38&lt;0.5,0,IF(D39="Yes",0,IF(D40="No",0,IF(D41&gt;10,0,IF(D42&lt;2,0,IF(D43&lt;2,0,IF(AND(D36="Level 1 Porous Asphalt",D44&lt;3),0,IF(AND(D36="Level 2 Porous Asphalt",D44&lt;2),0,IF(AND(D36="Porous Concrete",D44&lt;4),0,IF(AND(D36="Level 2 Porous Asphalt",D45&lt;3),0,IF(AND(D36="Porous Paver",D46&lt;2),0,IF(D47&lt;1,0,IF(AND(D38&lt;2,D48&lt;10),0,IF(D55&lt;MAX(D53,D54,0),0,IF(D38&lt;2,F35*0.4,IF(D38&gt;=2,F35*1)))))))))))))))))</f>
        <v/>
      </c>
      <c r="E62" s="310" t="s">
        <v>2</v>
      </c>
      <c r="F62" s="311"/>
      <c r="G62" s="311"/>
      <c r="H62" s="312"/>
    </row>
    <row r="63" spans="1:8" ht="13" x14ac:dyDescent="0.35">
      <c r="A63" s="16" t="s">
        <v>56</v>
      </c>
      <c r="B63" s="225" t="str">
        <f>IF('STEP 2-WQv Calculation'!$B$4="","",'STEP 2-WQv Calculation'!$B$4)</f>
        <v/>
      </c>
      <c r="C63" s="199"/>
      <c r="D63" s="199"/>
      <c r="E63" s="199"/>
      <c r="F63" s="199"/>
      <c r="G63" s="199"/>
      <c r="H63" s="199"/>
    </row>
    <row r="64" spans="1:8" ht="13.15" customHeight="1" x14ac:dyDescent="0.35">
      <c r="A64" s="241" t="s">
        <v>293</v>
      </c>
      <c r="B64" s="241"/>
      <c r="C64" s="241"/>
      <c r="D64" s="241"/>
      <c r="E64" s="241"/>
      <c r="F64" s="241"/>
      <c r="G64" s="241"/>
      <c r="H64" s="241"/>
    </row>
    <row r="65" spans="1:8" ht="38.5" x14ac:dyDescent="0.35">
      <c r="A65" s="204" t="s">
        <v>60</v>
      </c>
      <c r="B65" s="205" t="s">
        <v>61</v>
      </c>
      <c r="C65" s="205" t="s">
        <v>62</v>
      </c>
      <c r="D65" s="205" t="s">
        <v>63</v>
      </c>
      <c r="E65" s="205" t="s">
        <v>64</v>
      </c>
      <c r="F65" s="205" t="s">
        <v>65</v>
      </c>
      <c r="G65" s="205" t="s">
        <v>244</v>
      </c>
      <c r="H65" s="206" t="s">
        <v>13</v>
      </c>
    </row>
    <row r="66" spans="1:8" x14ac:dyDescent="0.35">
      <c r="A66" s="218"/>
      <c r="B66" s="3" t="str">
        <f>IF($A66="","",(LOOKUP($A66,'STEP 2-WQv Calculation'!$A$8:$A$37,'STEP 2-WQv Calculation'!$B$8:$B$37)))</f>
        <v/>
      </c>
      <c r="C66" s="3" t="str">
        <f>IF($A66="","",(LOOKUP($A66,'STEP 2-WQv Calculation'!$A$8:$A$37,'STEP 2-WQv Calculation'!$C$8:$C$37)))</f>
        <v/>
      </c>
      <c r="D66" s="212" t="str">
        <f>IF($A66="","",(LOOKUP($A66,'STEP 2-WQv Calculation'!$A$8:$A$37,'STEP 2-WQv Calculation'!$D$8:$D$37)))</f>
        <v/>
      </c>
      <c r="E66" s="3" t="str">
        <f>IF($A66="","",(LOOKUP($A66,'STEP 2-WQv Calculation'!$A$8:$A$37,'STEP 2-WQv Calculation'!$E$8:$E$37)))</f>
        <v/>
      </c>
      <c r="F66" s="217" t="str">
        <f>IF($A66="","",(LOOKUP($A66,'STEP 2-WQv Calculation'!$A$8:$A$37,'STEP 2-WQv Calculation'!$F$8:$F$37)))</f>
        <v/>
      </c>
      <c r="G66" s="22">
        <f>'STEP 2-WQv Calculation'!B5</f>
        <v>0</v>
      </c>
      <c r="H66" s="198" t="str">
        <f>IF($A66="","",(LOOKUP($A66,'STEP 2-WQv Calculation'!$A$8:$A$37,'STEP 2-WQv Calculation'!$G$8:$G$37)))</f>
        <v/>
      </c>
    </row>
    <row r="67" spans="1:8" ht="13.15" customHeight="1" x14ac:dyDescent="0.35">
      <c r="A67" s="242" t="s">
        <v>396</v>
      </c>
      <c r="B67" s="243"/>
      <c r="C67" s="244"/>
      <c r="D67" s="364" t="s">
        <v>419</v>
      </c>
      <c r="E67" s="365"/>
      <c r="F67" s="365"/>
      <c r="G67" s="365"/>
      <c r="H67" s="366"/>
    </row>
    <row r="68" spans="1:8" ht="13.15" customHeight="1" x14ac:dyDescent="0.3">
      <c r="A68" s="273" t="s">
        <v>226</v>
      </c>
      <c r="B68" s="273"/>
      <c r="C68" s="273"/>
      <c r="D68" s="273"/>
      <c r="E68" s="273"/>
      <c r="F68" s="273"/>
      <c r="G68" s="273"/>
      <c r="H68" s="273"/>
    </row>
    <row r="69" spans="1:8" ht="41.25" customHeight="1" x14ac:dyDescent="0.35">
      <c r="A69" s="242" t="s">
        <v>397</v>
      </c>
      <c r="B69" s="243"/>
      <c r="C69" s="244"/>
      <c r="D69" s="44"/>
      <c r="E69" s="322" t="str">
        <f>IF(D69="","",IF(D69&lt;0.5,"Does not meet design criteria",IF(D69&lt;2,"Underdrains required","")))</f>
        <v/>
      </c>
      <c r="F69" s="323"/>
      <c r="G69" s="323"/>
      <c r="H69" s="324"/>
    </row>
    <row r="70" spans="1:8" ht="13.15" customHeight="1" x14ac:dyDescent="0.35">
      <c r="A70" s="245" t="s">
        <v>247</v>
      </c>
      <c r="B70" s="245"/>
      <c r="C70" s="245"/>
      <c r="D70" s="211"/>
      <c r="E70" s="322" t="str">
        <f>IF(D70="Yes","Does not meet design criteria","")</f>
        <v/>
      </c>
      <c r="F70" s="323"/>
      <c r="G70" s="323"/>
      <c r="H70" s="324"/>
    </row>
    <row r="71" spans="1:8" ht="25.5" customHeight="1" x14ac:dyDescent="0.35">
      <c r="A71" s="242" t="s">
        <v>398</v>
      </c>
      <c r="B71" s="243"/>
      <c r="C71" s="244"/>
      <c r="D71" s="211"/>
      <c r="E71" s="322" t="str">
        <f>IF(D71="No","Does not meet design criteria","")</f>
        <v/>
      </c>
      <c r="F71" s="323"/>
      <c r="G71" s="323"/>
      <c r="H71" s="324"/>
    </row>
    <row r="72" spans="1:8" ht="25.5" customHeight="1" x14ac:dyDescent="0.35">
      <c r="A72" s="242" t="s">
        <v>714</v>
      </c>
      <c r="B72" s="243"/>
      <c r="C72" s="244"/>
      <c r="D72" s="43"/>
      <c r="E72" s="322" t="str">
        <f>IF(D72&gt;10,"Does not meet design criteria","")</f>
        <v/>
      </c>
      <c r="F72" s="323"/>
      <c r="G72" s="323"/>
      <c r="H72" s="324"/>
    </row>
    <row r="73" spans="1:8" ht="24.75" customHeight="1" x14ac:dyDescent="0.35">
      <c r="A73" s="242" t="s">
        <v>713</v>
      </c>
      <c r="B73" s="243"/>
      <c r="C73" s="244"/>
      <c r="D73" s="43"/>
      <c r="E73" s="322" t="str">
        <f>IF(D73="","",IF(D73&lt;2,"Does not  meet design criteria",""))</f>
        <v/>
      </c>
      <c r="F73" s="323"/>
      <c r="G73" s="323"/>
      <c r="H73" s="324"/>
    </row>
    <row r="74" spans="1:8" ht="13.15" customHeight="1" x14ac:dyDescent="0.35">
      <c r="A74" s="242" t="s">
        <v>297</v>
      </c>
      <c r="B74" s="243"/>
      <c r="C74" s="244"/>
      <c r="D74" s="43"/>
      <c r="E74" s="322" t="str">
        <f>IF(D74="","",IF(D74&lt;2,"Does not meet design criteria",""))</f>
        <v/>
      </c>
      <c r="F74" s="323"/>
      <c r="G74" s="323"/>
      <c r="H74" s="324"/>
    </row>
    <row r="75" spans="1:8" ht="13.15" customHeight="1" x14ac:dyDescent="0.35">
      <c r="A75" s="242" t="s">
        <v>378</v>
      </c>
      <c r="B75" s="243"/>
      <c r="C75" s="244"/>
      <c r="D75" s="43"/>
      <c r="E75" s="322" t="str">
        <f>IF(D75="","",IF(AND(D67="Level 1 Porous Asphalt",D75&lt;3),"Does not meet design criteria",IF(AND(D67="Level 2 Porous Asphalt",D75&lt;2),"Does not meet design criteria",IF(AND(D67="Porous Concrete",D75&lt;4),"Does not meet design criteria",""))))</f>
        <v/>
      </c>
      <c r="F75" s="323"/>
      <c r="G75" s="323"/>
      <c r="H75" s="324"/>
    </row>
    <row r="76" spans="1:8" ht="13.15" customHeight="1" x14ac:dyDescent="0.35">
      <c r="A76" s="242" t="s">
        <v>399</v>
      </c>
      <c r="B76" s="243"/>
      <c r="C76" s="244"/>
      <c r="D76" s="43"/>
      <c r="E76" s="322" t="str">
        <f>IF(D67="Level 1 Porous Asphalt","Not applicable",IF(AND(D67="Level 2 Porous Asphalt",D76&lt;3),"Does not meet design criteria",IF(D67="Porous Concrete","Not applicable",IF(D67="Porous Paver","Not applicable",""))))</f>
        <v>Does not meet design criteria</v>
      </c>
      <c r="F76" s="323"/>
      <c r="G76" s="323"/>
      <c r="H76" s="324"/>
    </row>
    <row r="77" spans="1:8" ht="13.15" customHeight="1" x14ac:dyDescent="0.35">
      <c r="A77" s="242" t="s">
        <v>400</v>
      </c>
      <c r="B77" s="243"/>
      <c r="C77" s="244"/>
      <c r="D77" s="43"/>
      <c r="E77" s="322" t="str">
        <f>IF(D67="Level 1 Porous Asphalt","Not applicable",IF((D67="Level 2 Porous Asphalt"),"Not Applicable",IF(D67="Porous Concrete","Not applicable",IF(D67="Porous Paver",IF(D77&lt;2,"Does not meet design criteria",""),""))))</f>
        <v>Not Applicable</v>
      </c>
      <c r="F77" s="323"/>
      <c r="G77" s="323"/>
      <c r="H77" s="324"/>
    </row>
    <row r="78" spans="1:8" ht="13.15" customHeight="1" x14ac:dyDescent="0.35">
      <c r="A78" s="242" t="s">
        <v>401</v>
      </c>
      <c r="B78" s="243"/>
      <c r="C78" s="244"/>
      <c r="D78" s="43"/>
      <c r="E78" s="322" t="str">
        <f>IF(D78="","",IF(D78&lt;1,"Does not meet design criteria",""))</f>
        <v/>
      </c>
      <c r="F78" s="323"/>
      <c r="G78" s="323"/>
      <c r="H78" s="324"/>
    </row>
    <row r="79" spans="1:8" ht="13.15" customHeight="1" x14ac:dyDescent="0.35">
      <c r="A79" s="242" t="s">
        <v>402</v>
      </c>
      <c r="B79" s="243"/>
      <c r="C79" s="244"/>
      <c r="D79" s="43"/>
      <c r="E79" s="322" t="str">
        <f>IF(D69="","",IF(AND(D69&lt;2,D79=""),"Required when underdrains are provided",IF(AND(D69&lt;2,D79&lt;10),"Does not meet design criteria","")))</f>
        <v/>
      </c>
      <c r="F79" s="323"/>
      <c r="G79" s="323"/>
      <c r="H79" s="324"/>
    </row>
    <row r="80" spans="1:8" ht="13.15" customHeight="1" x14ac:dyDescent="0.35">
      <c r="A80" s="241" t="s">
        <v>232</v>
      </c>
      <c r="B80" s="241"/>
      <c r="C80" s="241"/>
      <c r="D80" s="241"/>
      <c r="E80" s="241"/>
      <c r="F80" s="241"/>
      <c r="G80" s="241"/>
      <c r="H80" s="241"/>
    </row>
    <row r="81" spans="1:8" x14ac:dyDescent="0.35">
      <c r="A81" s="378"/>
      <c r="B81" s="379"/>
      <c r="C81" s="380"/>
      <c r="D81" s="222" t="s">
        <v>256</v>
      </c>
      <c r="E81" s="208" t="s">
        <v>257</v>
      </c>
      <c r="F81" s="375" t="s">
        <v>258</v>
      </c>
      <c r="G81" s="376"/>
      <c r="H81" s="377"/>
    </row>
    <row r="82" spans="1:8" ht="13.15" customHeight="1" x14ac:dyDescent="0.35">
      <c r="A82" s="289" t="s">
        <v>403</v>
      </c>
      <c r="B82" s="289"/>
      <c r="C82" s="198" t="s">
        <v>404</v>
      </c>
      <c r="D82" s="216"/>
      <c r="E82" s="193" t="s">
        <v>316</v>
      </c>
      <c r="F82" s="322"/>
      <c r="G82" s="323"/>
      <c r="H82" s="324"/>
    </row>
    <row r="83" spans="1:8" x14ac:dyDescent="0.35">
      <c r="A83" s="334" t="s">
        <v>405</v>
      </c>
      <c r="B83" s="334"/>
      <c r="C83" s="217" t="s">
        <v>268</v>
      </c>
      <c r="D83" s="22">
        <v>0.4</v>
      </c>
      <c r="E83" s="144"/>
      <c r="F83" s="387"/>
      <c r="G83" s="388"/>
      <c r="H83" s="389"/>
    </row>
    <row r="84" spans="1:8" ht="13.15" customHeight="1" x14ac:dyDescent="0.35">
      <c r="A84" s="334" t="s">
        <v>406</v>
      </c>
      <c r="B84" s="334"/>
      <c r="C84" s="217" t="s">
        <v>407</v>
      </c>
      <c r="D84" s="22" t="e">
        <f>ROUNDUP((F66/(D82*D83)),1)</f>
        <v>#VALUE!</v>
      </c>
      <c r="E84" s="144" t="s">
        <v>271</v>
      </c>
      <c r="F84" s="387"/>
      <c r="G84" s="388"/>
      <c r="H84" s="389"/>
    </row>
    <row r="85" spans="1:8" ht="13.15" customHeight="1" x14ac:dyDescent="0.35">
      <c r="A85" s="334" t="s">
        <v>408</v>
      </c>
      <c r="B85" s="334"/>
      <c r="C85" s="217" t="s">
        <v>407</v>
      </c>
      <c r="D85" s="22" t="e">
        <f>IF(AND(D67="Level 1 Porous Asphalt",D84&lt;0.67),0.67,IF(AND(D67="Level 2 Porous Asphalt",D84&lt;1),1,IF(AND(D67="Porous Concrete",D84&lt;0.67),0.67,IF(AND(D67="Porous Paver",D84&lt;0.67),0.67,""))))</f>
        <v>#VALUE!</v>
      </c>
      <c r="E85" s="144" t="s">
        <v>271</v>
      </c>
      <c r="F85" s="387"/>
      <c r="G85" s="388"/>
      <c r="H85" s="389"/>
    </row>
    <row r="86" spans="1:8" ht="24" customHeight="1" x14ac:dyDescent="0.35">
      <c r="A86" s="334" t="s">
        <v>409</v>
      </c>
      <c r="B86" s="334"/>
      <c r="C86" s="217" t="s">
        <v>407</v>
      </c>
      <c r="D86" s="216"/>
      <c r="E86" s="144" t="s">
        <v>271</v>
      </c>
      <c r="F86" s="387" t="str">
        <f>IF(D86="","",IF(D86&lt;MAX(D85,D84),"Does not meet design criteria",""))</f>
        <v/>
      </c>
      <c r="G86" s="388"/>
      <c r="H86" s="389"/>
    </row>
    <row r="87" spans="1:8" ht="27.75" customHeight="1" x14ac:dyDescent="0.35">
      <c r="A87" s="334" t="s">
        <v>410</v>
      </c>
      <c r="B87" s="334"/>
      <c r="C87" s="217" t="s">
        <v>411</v>
      </c>
      <c r="D87" s="217" t="e">
        <f>ROUNDUP(D82/D88,0)</f>
        <v>#DIV/0!</v>
      </c>
      <c r="E87" s="144" t="s">
        <v>271</v>
      </c>
      <c r="F87" s="387" t="str">
        <f>IF(D69&gt;=2,"Not required","")</f>
        <v/>
      </c>
      <c r="G87" s="388"/>
      <c r="H87" s="389"/>
    </row>
    <row r="88" spans="1:8" ht="24" customHeight="1" x14ac:dyDescent="0.35">
      <c r="A88" s="334" t="s">
        <v>412</v>
      </c>
      <c r="B88" s="334"/>
      <c r="C88" s="217" t="s">
        <v>214</v>
      </c>
      <c r="D88" s="30"/>
      <c r="E88" s="144" t="s">
        <v>271</v>
      </c>
      <c r="F88" s="387" t="str">
        <f>IF(D69&gt;=2,"Not required",IF(D88&gt;30,"Does not meet design criteria",""))</f>
        <v/>
      </c>
      <c r="G88" s="388"/>
      <c r="H88" s="389"/>
    </row>
    <row r="89" spans="1:8" ht="26.25" customHeight="1" x14ac:dyDescent="0.35">
      <c r="A89" s="334" t="s">
        <v>413</v>
      </c>
      <c r="B89" s="334"/>
      <c r="C89" s="217" t="s">
        <v>414</v>
      </c>
      <c r="D89" s="30"/>
      <c r="E89" s="144" t="s">
        <v>271</v>
      </c>
      <c r="F89" s="387" t="str">
        <f>IF(D69&gt;=2,"Not required","")</f>
        <v/>
      </c>
      <c r="G89" s="388"/>
      <c r="H89" s="389"/>
    </row>
    <row r="90" spans="1:8" ht="13.15" customHeight="1" x14ac:dyDescent="0.35">
      <c r="A90" s="334" t="s">
        <v>415</v>
      </c>
      <c r="B90" s="334"/>
      <c r="C90" s="217" t="s">
        <v>416</v>
      </c>
      <c r="D90" s="3" t="e">
        <f>ROUNDUP(D87/D89,0)</f>
        <v>#DIV/0!</v>
      </c>
      <c r="E90" s="144"/>
      <c r="F90" s="387" t="str">
        <f>IF(D69&gt;=2,"Not required","")</f>
        <v/>
      </c>
      <c r="G90" s="388"/>
      <c r="H90" s="389"/>
    </row>
    <row r="91" spans="1:8" ht="24.75" customHeight="1" x14ac:dyDescent="0.35">
      <c r="A91" s="334" t="s">
        <v>417</v>
      </c>
      <c r="B91" s="334"/>
      <c r="C91" s="217" t="s">
        <v>416</v>
      </c>
      <c r="D91" s="216"/>
      <c r="E91" s="144"/>
      <c r="F91" s="387" t="str">
        <f>IF(D91="","Not required",IF(D69&gt;=2,"Not required",IF(D91&lt;D90,"Does not meet design criteria","")))</f>
        <v>Not required</v>
      </c>
      <c r="G91" s="388"/>
      <c r="H91" s="389"/>
    </row>
    <row r="92" spans="1:8" ht="24.75" customHeight="1" x14ac:dyDescent="0.35">
      <c r="A92" s="390" t="s">
        <v>418</v>
      </c>
      <c r="B92" s="390"/>
      <c r="C92" s="390"/>
      <c r="D92" s="390"/>
      <c r="E92" s="390"/>
      <c r="F92" s="390"/>
      <c r="G92" s="390"/>
      <c r="H92" s="390"/>
    </row>
    <row r="93" spans="1:8" ht="13.15" customHeight="1" x14ac:dyDescent="0.35">
      <c r="A93" s="310" t="s">
        <v>241</v>
      </c>
      <c r="B93" s="311"/>
      <c r="C93" s="312"/>
      <c r="D93" s="9" t="str">
        <f>IF(A66="","",IF(D69&lt;0.5,0,IF(D70="Yes",0,IF(D71="No",0,IF(D72&gt;10,0,IF(D73&lt;2,0,IF(D74&lt;2,0,IF(AND(D67="Level 1 Porous Asphalt",D75&lt;3),0,IF(AND(D67="Level 2 Porous Asphalt",D75&lt;2),0,IF(AND(D67="Porous Concrete",D75&lt;4),0,IF(AND(D67="Level 2 Porous Asphalt",D76&lt;3),0,IF(AND(D67="Porous Paver",D77&lt;2),0,IF(D78&lt;1,0,IF(AND(D69&lt;2,D79&lt;10),0,IF(D86&lt;MAX(D84,D85,0),0,IF(D69&lt;2,F66*0.4,IF(D69&gt;=2,F66*1)))))))))))))))))</f>
        <v/>
      </c>
      <c r="E93" s="310" t="s">
        <v>2</v>
      </c>
      <c r="F93" s="311"/>
      <c r="G93" s="311"/>
      <c r="H93" s="312"/>
    </row>
    <row r="94" spans="1:8" ht="13" x14ac:dyDescent="0.35">
      <c r="A94" s="16" t="s">
        <v>56</v>
      </c>
      <c r="B94" s="225" t="str">
        <f>IF('STEP 2-WQv Calculation'!$B$4="","",'STEP 2-WQv Calculation'!$B$4)</f>
        <v/>
      </c>
      <c r="C94" s="199"/>
      <c r="D94" s="199"/>
      <c r="E94" s="199"/>
      <c r="F94" s="199"/>
      <c r="G94" s="199"/>
      <c r="H94" s="199"/>
    </row>
    <row r="95" spans="1:8" ht="13.15" customHeight="1" x14ac:dyDescent="0.35">
      <c r="A95" s="241" t="s">
        <v>293</v>
      </c>
      <c r="B95" s="241"/>
      <c r="C95" s="241"/>
      <c r="D95" s="241"/>
      <c r="E95" s="241"/>
      <c r="F95" s="241"/>
      <c r="G95" s="241"/>
      <c r="H95" s="241"/>
    </row>
    <row r="96" spans="1:8" ht="38.5" x14ac:dyDescent="0.35">
      <c r="A96" s="204" t="s">
        <v>60</v>
      </c>
      <c r="B96" s="205" t="s">
        <v>61</v>
      </c>
      <c r="C96" s="205" t="s">
        <v>62</v>
      </c>
      <c r="D96" s="205" t="s">
        <v>63</v>
      </c>
      <c r="E96" s="205" t="s">
        <v>64</v>
      </c>
      <c r="F96" s="205" t="s">
        <v>65</v>
      </c>
      <c r="G96" s="205" t="s">
        <v>244</v>
      </c>
      <c r="H96" s="206" t="s">
        <v>13</v>
      </c>
    </row>
    <row r="97" spans="1:8" x14ac:dyDescent="0.35">
      <c r="A97" s="218"/>
      <c r="B97" s="3" t="str">
        <f>IF($A97="","",(LOOKUP($A97,'STEP 2-WQv Calculation'!$A$8:$A$37,'STEP 2-WQv Calculation'!$B$8:$B$37)))</f>
        <v/>
      </c>
      <c r="C97" s="3" t="str">
        <f>IF($A97="","",(LOOKUP($A97,'STEP 2-WQv Calculation'!$A$8:$A$37,'STEP 2-WQv Calculation'!$C$8:$C$37)))</f>
        <v/>
      </c>
      <c r="D97" s="212" t="str">
        <f>IF($A97="","",(LOOKUP($A97,'STEP 2-WQv Calculation'!$A$8:$A$37,'STEP 2-WQv Calculation'!$D$8:$D$37)))</f>
        <v/>
      </c>
      <c r="E97" s="3" t="str">
        <f>IF($A97="","",(LOOKUP($A97,'STEP 2-WQv Calculation'!$A$8:$A$37,'STEP 2-WQv Calculation'!$E$8:$E$37)))</f>
        <v/>
      </c>
      <c r="F97" s="217" t="str">
        <f>IF($A97="","",(LOOKUP($A97,'STEP 2-WQv Calculation'!$A$8:$A$37,'STEP 2-WQv Calculation'!$F$8:$F$37)))</f>
        <v/>
      </c>
      <c r="G97" s="22">
        <f>'STEP 2-WQv Calculation'!B5</f>
        <v>0</v>
      </c>
      <c r="H97" s="198" t="str">
        <f>IF($A97="","",(LOOKUP($A97,'STEP 2-WQv Calculation'!$A$8:$A$37,'STEP 2-WQv Calculation'!$G$8:$G$37)))</f>
        <v/>
      </c>
    </row>
    <row r="98" spans="1:8" ht="13.15" customHeight="1" x14ac:dyDescent="0.35">
      <c r="A98" s="242" t="s">
        <v>396</v>
      </c>
      <c r="B98" s="243"/>
      <c r="C98" s="244"/>
      <c r="D98" s="364" t="s">
        <v>688</v>
      </c>
      <c r="E98" s="365"/>
      <c r="F98" s="365"/>
      <c r="G98" s="365"/>
      <c r="H98" s="366"/>
    </row>
    <row r="99" spans="1:8" ht="13.15" customHeight="1" x14ac:dyDescent="0.3">
      <c r="A99" s="273" t="s">
        <v>226</v>
      </c>
      <c r="B99" s="273"/>
      <c r="C99" s="273"/>
      <c r="D99" s="273"/>
      <c r="E99" s="273"/>
      <c r="F99" s="273"/>
      <c r="G99" s="273"/>
      <c r="H99" s="273"/>
    </row>
    <row r="100" spans="1:8" ht="39.75" customHeight="1" x14ac:dyDescent="0.35">
      <c r="A100" s="242" t="s">
        <v>397</v>
      </c>
      <c r="B100" s="243"/>
      <c r="C100" s="244"/>
      <c r="D100" s="44"/>
      <c r="E100" s="322" t="str">
        <f>IF(D100="","",IF(D100&lt;0.5,"Does not meet design criteria",IF(D100&lt;2,"Underdrains required","")))</f>
        <v/>
      </c>
      <c r="F100" s="323"/>
      <c r="G100" s="323"/>
      <c r="H100" s="324"/>
    </row>
    <row r="101" spans="1:8" ht="13.15" customHeight="1" x14ac:dyDescent="0.35">
      <c r="A101" s="245" t="s">
        <v>247</v>
      </c>
      <c r="B101" s="245"/>
      <c r="C101" s="245"/>
      <c r="D101" s="211"/>
      <c r="E101" s="322" t="str">
        <f>IF(D101="Yes","Does not meet design criteria","")</f>
        <v/>
      </c>
      <c r="F101" s="323"/>
      <c r="G101" s="323"/>
      <c r="H101" s="324"/>
    </row>
    <row r="102" spans="1:8" ht="26.25" customHeight="1" x14ac:dyDescent="0.35">
      <c r="A102" s="242" t="s">
        <v>398</v>
      </c>
      <c r="B102" s="243"/>
      <c r="C102" s="244"/>
      <c r="D102" s="211"/>
      <c r="E102" s="322" t="str">
        <f>IF(D102="No","Does not meet design criteria","")</f>
        <v/>
      </c>
      <c r="F102" s="323"/>
      <c r="G102" s="323"/>
      <c r="H102" s="324"/>
    </row>
    <row r="103" spans="1:8" ht="26.25" customHeight="1" x14ac:dyDescent="0.35">
      <c r="A103" s="242" t="s">
        <v>714</v>
      </c>
      <c r="B103" s="243"/>
      <c r="C103" s="244"/>
      <c r="D103" s="43"/>
      <c r="E103" s="322" t="str">
        <f>IF(D103&gt;10,"Does not meet design criteria","")</f>
        <v/>
      </c>
      <c r="F103" s="323"/>
      <c r="G103" s="323"/>
      <c r="H103" s="324"/>
    </row>
    <row r="104" spans="1:8" ht="27" customHeight="1" x14ac:dyDescent="0.35">
      <c r="A104" s="242" t="s">
        <v>713</v>
      </c>
      <c r="B104" s="243"/>
      <c r="C104" s="244"/>
      <c r="D104" s="43"/>
      <c r="E104" s="322" t="str">
        <f>IF(D104="","",IF(D104&lt;2,"Does not  meet design criteria",""))</f>
        <v/>
      </c>
      <c r="F104" s="323"/>
      <c r="G104" s="323"/>
      <c r="H104" s="324"/>
    </row>
    <row r="105" spans="1:8" ht="13.15" customHeight="1" x14ac:dyDescent="0.35">
      <c r="A105" s="242" t="s">
        <v>297</v>
      </c>
      <c r="B105" s="243"/>
      <c r="C105" s="244"/>
      <c r="D105" s="43"/>
      <c r="E105" s="322" t="str">
        <f>IF(D105="","",IF(D105&lt;2,"Does not meet design criteria",""))</f>
        <v/>
      </c>
      <c r="F105" s="323"/>
      <c r="G105" s="323"/>
      <c r="H105" s="324"/>
    </row>
    <row r="106" spans="1:8" ht="13.15" customHeight="1" x14ac:dyDescent="0.35">
      <c r="A106" s="242" t="s">
        <v>378</v>
      </c>
      <c r="B106" s="243"/>
      <c r="C106" s="244"/>
      <c r="D106" s="43"/>
      <c r="E106" s="322" t="str">
        <f>IF(D106="","",IF(AND(D98="Level 1 Porous Asphalt",D106&lt;3),"Does not meet design criteria",IF(AND(D98="Level 2 Porous Asphalt",D106&lt;2),"Does not meet design criteria",IF(AND(D98="Porous Concrete",D106&lt;4),"Does not meet design criteria",""))))</f>
        <v/>
      </c>
      <c r="F106" s="323"/>
      <c r="G106" s="323"/>
      <c r="H106" s="324"/>
    </row>
    <row r="107" spans="1:8" ht="13.15" customHeight="1" x14ac:dyDescent="0.35">
      <c r="A107" s="242" t="s">
        <v>399</v>
      </c>
      <c r="B107" s="243"/>
      <c r="C107" s="244"/>
      <c r="D107" s="43"/>
      <c r="E107" s="322" t="str">
        <f>IF(D98="Level 1 Porous Asphalt","Not applicable",IF(AND(D98="Level 2 Porous Asphalt",D107&lt;3),"Does not meet design criteria",IF(D98="Porous Concrete","Not applicable",IF(D98="Porous Paver","Not applicable",""))))</f>
        <v>Not applicable</v>
      </c>
      <c r="F107" s="323"/>
      <c r="G107" s="323"/>
      <c r="H107" s="324"/>
    </row>
    <row r="108" spans="1:8" ht="13.15" customHeight="1" x14ac:dyDescent="0.35">
      <c r="A108" s="242" t="s">
        <v>400</v>
      </c>
      <c r="B108" s="243"/>
      <c r="C108" s="244"/>
      <c r="D108" s="43"/>
      <c r="E108" s="322" t="str">
        <f>IF(D98="Level 1 Porous Asphalt","Not applicable",IF((D98="Level 2 Porous Asphalt"),"Not Applicable",IF(D98="Porous Concrete","Not applicable",IF(D98="Porous Paver",IF(D108&lt;2,"Does not meet design criteria",""),""))))</f>
        <v>Does not meet design criteria</v>
      </c>
      <c r="F108" s="323"/>
      <c r="G108" s="323"/>
      <c r="H108" s="324"/>
    </row>
    <row r="109" spans="1:8" ht="13.15" customHeight="1" x14ac:dyDescent="0.35">
      <c r="A109" s="242" t="s">
        <v>401</v>
      </c>
      <c r="B109" s="243"/>
      <c r="C109" s="244"/>
      <c r="D109" s="43"/>
      <c r="E109" s="322" t="str">
        <f>IF(D109="","",IF(D109&lt;1,"Does not meet design criteria",""))</f>
        <v/>
      </c>
      <c r="F109" s="323"/>
      <c r="G109" s="323"/>
      <c r="H109" s="324"/>
    </row>
    <row r="110" spans="1:8" ht="13.15" customHeight="1" x14ac:dyDescent="0.35">
      <c r="A110" s="242" t="s">
        <v>402</v>
      </c>
      <c r="B110" s="243"/>
      <c r="C110" s="244"/>
      <c r="D110" s="43"/>
      <c r="E110" s="322" t="str">
        <f>IF(D100="","",IF(AND(D100&lt;2,D110=""),"Required when underdrains are provided",IF(AND(D100&lt;2,D110&lt;10),"Does not meet design criteria","")))</f>
        <v/>
      </c>
      <c r="F110" s="323"/>
      <c r="G110" s="323"/>
      <c r="H110" s="324"/>
    </row>
    <row r="111" spans="1:8" ht="13.15" customHeight="1" x14ac:dyDescent="0.35">
      <c r="A111" s="241" t="s">
        <v>232</v>
      </c>
      <c r="B111" s="241"/>
      <c r="C111" s="241"/>
      <c r="D111" s="241"/>
      <c r="E111" s="241"/>
      <c r="F111" s="241"/>
      <c r="G111" s="241"/>
      <c r="H111" s="241"/>
    </row>
    <row r="112" spans="1:8" x14ac:dyDescent="0.35">
      <c r="A112" s="378"/>
      <c r="B112" s="379"/>
      <c r="C112" s="380"/>
      <c r="D112" s="222" t="s">
        <v>256</v>
      </c>
      <c r="E112" s="208" t="s">
        <v>257</v>
      </c>
      <c r="F112" s="375" t="s">
        <v>258</v>
      </c>
      <c r="G112" s="376"/>
      <c r="H112" s="377"/>
    </row>
    <row r="113" spans="1:8" ht="13.15" customHeight="1" x14ac:dyDescent="0.35">
      <c r="A113" s="289" t="s">
        <v>403</v>
      </c>
      <c r="B113" s="289"/>
      <c r="C113" s="198" t="s">
        <v>404</v>
      </c>
      <c r="D113" s="216"/>
      <c r="E113" s="193" t="s">
        <v>316</v>
      </c>
      <c r="F113" s="322"/>
      <c r="G113" s="323"/>
      <c r="H113" s="324"/>
    </row>
    <row r="114" spans="1:8" x14ac:dyDescent="0.35">
      <c r="A114" s="334" t="s">
        <v>405</v>
      </c>
      <c r="B114" s="334"/>
      <c r="C114" s="217" t="s">
        <v>268</v>
      </c>
      <c r="D114" s="22">
        <v>0.4</v>
      </c>
      <c r="E114" s="144"/>
      <c r="F114" s="387"/>
      <c r="G114" s="388"/>
      <c r="H114" s="389"/>
    </row>
    <row r="115" spans="1:8" ht="13.15" customHeight="1" x14ac:dyDescent="0.35">
      <c r="A115" s="334" t="s">
        <v>406</v>
      </c>
      <c r="B115" s="334"/>
      <c r="C115" s="217" t="s">
        <v>407</v>
      </c>
      <c r="D115" s="22" t="e">
        <f>ROUNDUP((F97/(D113*D114)),1)</f>
        <v>#VALUE!</v>
      </c>
      <c r="E115" s="144" t="s">
        <v>271</v>
      </c>
      <c r="F115" s="387"/>
      <c r="G115" s="388"/>
      <c r="H115" s="389"/>
    </row>
    <row r="116" spans="1:8" ht="13.15" customHeight="1" x14ac:dyDescent="0.35">
      <c r="A116" s="334" t="s">
        <v>408</v>
      </c>
      <c r="B116" s="334"/>
      <c r="C116" s="217" t="s">
        <v>407</v>
      </c>
      <c r="D116" s="22" t="e">
        <f>IF(AND(D98="Level 1 Porous Asphalt",D115&lt;0.67),0.67,IF(AND(D98="Level 2 Porous Asphalt",D115&lt;1),1,IF(AND(D98="Porous Concrete",D115&lt;0.67),0.67,IF(AND(D98="Porous Paver",D115&lt;0.67),0.67,""))))</f>
        <v>#VALUE!</v>
      </c>
      <c r="E116" s="144" t="s">
        <v>271</v>
      </c>
      <c r="F116" s="387"/>
      <c r="G116" s="388"/>
      <c r="H116" s="389"/>
    </row>
    <row r="117" spans="1:8" ht="27" customHeight="1" x14ac:dyDescent="0.35">
      <c r="A117" s="334" t="s">
        <v>409</v>
      </c>
      <c r="B117" s="334"/>
      <c r="C117" s="217" t="s">
        <v>407</v>
      </c>
      <c r="D117" s="216"/>
      <c r="E117" s="144" t="s">
        <v>271</v>
      </c>
      <c r="F117" s="387" t="str">
        <f>IF(D117="","",IF(D117&lt;MAX(D116,D115),"Does not meet design criteria",""))</f>
        <v/>
      </c>
      <c r="G117" s="388"/>
      <c r="H117" s="389"/>
    </row>
    <row r="118" spans="1:8" ht="12" customHeight="1" x14ac:dyDescent="0.35">
      <c r="A118" s="334" t="s">
        <v>410</v>
      </c>
      <c r="B118" s="334"/>
      <c r="C118" s="217" t="s">
        <v>411</v>
      </c>
      <c r="D118" s="217" t="e">
        <f>ROUNDUP(D113/D119,0)</f>
        <v>#DIV/0!</v>
      </c>
      <c r="E118" s="144" t="s">
        <v>271</v>
      </c>
      <c r="F118" s="387" t="str">
        <f>IF(D100&gt;=2,"Not required","")</f>
        <v/>
      </c>
      <c r="G118" s="388"/>
      <c r="H118" s="389"/>
    </row>
    <row r="119" spans="1:8" ht="24.75" customHeight="1" x14ac:dyDescent="0.35">
      <c r="A119" s="334" t="s">
        <v>412</v>
      </c>
      <c r="B119" s="334"/>
      <c r="C119" s="217" t="s">
        <v>214</v>
      </c>
      <c r="D119" s="30"/>
      <c r="E119" s="144" t="s">
        <v>271</v>
      </c>
      <c r="F119" s="387" t="str">
        <f>IF(D100&gt;=2,"Not required",IF(D119&gt;30,"Does not meet design criteria",""))</f>
        <v/>
      </c>
      <c r="G119" s="388"/>
      <c r="H119" s="389"/>
    </row>
    <row r="120" spans="1:8" ht="25.5" customHeight="1" x14ac:dyDescent="0.35">
      <c r="A120" s="334" t="s">
        <v>413</v>
      </c>
      <c r="B120" s="334"/>
      <c r="C120" s="217" t="s">
        <v>414</v>
      </c>
      <c r="D120" s="30"/>
      <c r="E120" s="144" t="s">
        <v>271</v>
      </c>
      <c r="F120" s="387" t="str">
        <f>IF(D100&gt;=2,"Not required","")</f>
        <v/>
      </c>
      <c r="G120" s="388"/>
      <c r="H120" s="389"/>
    </row>
    <row r="121" spans="1:8" ht="13.15" customHeight="1" x14ac:dyDescent="0.35">
      <c r="A121" s="334" t="s">
        <v>415</v>
      </c>
      <c r="B121" s="334"/>
      <c r="C121" s="217" t="s">
        <v>416</v>
      </c>
      <c r="D121" s="3" t="e">
        <f>ROUNDUP(D118/D120,0)</f>
        <v>#DIV/0!</v>
      </c>
      <c r="E121" s="144"/>
      <c r="F121" s="387" t="str">
        <f>IF(D100&gt;=2,"Not required","")</f>
        <v/>
      </c>
      <c r="G121" s="388"/>
      <c r="H121" s="389"/>
    </row>
    <row r="122" spans="1:8" ht="25.5" customHeight="1" x14ac:dyDescent="0.35">
      <c r="A122" s="334" t="s">
        <v>417</v>
      </c>
      <c r="B122" s="334"/>
      <c r="C122" s="217" t="s">
        <v>416</v>
      </c>
      <c r="D122" s="216"/>
      <c r="E122" s="144"/>
      <c r="F122" s="387" t="str">
        <f>IF(D122="","Not required",IF(D100&gt;=2,"Not required",IF(D122&lt;D121,"Does not meet design criteria","")))</f>
        <v>Not required</v>
      </c>
      <c r="G122" s="388"/>
      <c r="H122" s="389"/>
    </row>
    <row r="123" spans="1:8" ht="13.15" customHeight="1" x14ac:dyDescent="0.35">
      <c r="A123" s="390" t="s">
        <v>418</v>
      </c>
      <c r="B123" s="390"/>
      <c r="C123" s="390"/>
      <c r="D123" s="390"/>
      <c r="E123" s="390"/>
      <c r="F123" s="390"/>
      <c r="G123" s="390"/>
      <c r="H123" s="390"/>
    </row>
    <row r="124" spans="1:8" ht="13.15" customHeight="1" x14ac:dyDescent="0.35">
      <c r="A124" s="310" t="s">
        <v>241</v>
      </c>
      <c r="B124" s="311"/>
      <c r="C124" s="312"/>
      <c r="D124" s="9" t="str">
        <f>IF(A97="","",IF(D100&lt;0.5,0,IF(D101="Yes",0,IF(D102="No",0,IF(D103&gt;10,0,IF(D104&lt;2,0,IF(D105&lt;2,0,IF(AND(D98="Level 1 Porous Asphalt",D106&lt;3),0,IF(AND(D98="Level 2 Porous Asphalt",D106&lt;2),0,IF(AND(D98="Porous Concrete",D106&lt;4),0,IF(AND(D98="Level 2 Porous Asphalt",D107&lt;3),0,IF(AND(D98="Porous Paver",D108&lt;2),0,IF(D109&lt;1,0,IF(AND(D100&lt;2,D110&lt;10),0,IF(D117&lt;MAX(D115,D116,0),0,IF(D100&lt;2,F97*0.4,IF(D100&gt;=2,F97*1)))))))))))))))))</f>
        <v/>
      </c>
      <c r="E124" s="310" t="s">
        <v>2</v>
      </c>
      <c r="F124" s="311"/>
      <c r="G124" s="311"/>
      <c r="H124" s="312"/>
    </row>
    <row r="125" spans="1:8" ht="13" x14ac:dyDescent="0.35">
      <c r="A125" s="16" t="s">
        <v>56</v>
      </c>
      <c r="B125" s="225" t="str">
        <f>IF('STEP 2-WQv Calculation'!$B$4="","",'STEP 2-WQv Calculation'!$B$4)</f>
        <v/>
      </c>
      <c r="C125" s="199"/>
      <c r="D125" s="199"/>
      <c r="E125" s="199"/>
      <c r="F125" s="199"/>
      <c r="G125" s="199"/>
      <c r="H125" s="199"/>
    </row>
    <row r="126" spans="1:8" ht="13.15" customHeight="1" x14ac:dyDescent="0.35">
      <c r="A126" s="241" t="s">
        <v>293</v>
      </c>
      <c r="B126" s="241"/>
      <c r="C126" s="241"/>
      <c r="D126" s="241"/>
      <c r="E126" s="241"/>
      <c r="F126" s="241"/>
      <c r="G126" s="241"/>
      <c r="H126" s="241"/>
    </row>
    <row r="127" spans="1:8" ht="38.5" x14ac:dyDescent="0.35">
      <c r="A127" s="204" t="s">
        <v>60</v>
      </c>
      <c r="B127" s="205" t="s">
        <v>61</v>
      </c>
      <c r="C127" s="205" t="s">
        <v>62</v>
      </c>
      <c r="D127" s="205" t="s">
        <v>63</v>
      </c>
      <c r="E127" s="205" t="s">
        <v>64</v>
      </c>
      <c r="F127" s="205" t="s">
        <v>65</v>
      </c>
      <c r="G127" s="205" t="s">
        <v>244</v>
      </c>
      <c r="H127" s="206" t="s">
        <v>13</v>
      </c>
    </row>
    <row r="128" spans="1:8" x14ac:dyDescent="0.35">
      <c r="A128" s="218"/>
      <c r="B128" s="3" t="str">
        <f>IF($A128="","",(LOOKUP($A128,'STEP 2-WQv Calculation'!$A$8:$A$37,'STEP 2-WQv Calculation'!$B$8:$B$37)))</f>
        <v/>
      </c>
      <c r="C128" s="3" t="str">
        <f>IF($A128="","",(LOOKUP($A128,'STEP 2-WQv Calculation'!$A$8:$A$37,'STEP 2-WQv Calculation'!$C$8:$C$37)))</f>
        <v/>
      </c>
      <c r="D128" s="212" t="str">
        <f>IF($A128="","",(LOOKUP($A128,'STEP 2-WQv Calculation'!$A$8:$A$37,'STEP 2-WQv Calculation'!$D$8:$D$37)))</f>
        <v/>
      </c>
      <c r="E128" s="3" t="str">
        <f>IF($A128="","",(LOOKUP($A128,'STEP 2-WQv Calculation'!$A$8:$A$37,'STEP 2-WQv Calculation'!$E$8:$E$37)))</f>
        <v/>
      </c>
      <c r="F128" s="217" t="str">
        <f>IF($A128="","",(LOOKUP($A128,'STEP 2-WQv Calculation'!$A$8:$A$37,'STEP 2-WQv Calculation'!$F$8:$F$37)))</f>
        <v/>
      </c>
      <c r="G128" s="22">
        <f>'STEP 2-WQv Calculation'!B5</f>
        <v>0</v>
      </c>
      <c r="H128" s="198" t="str">
        <f>IF($A128="","",(LOOKUP($A128,'STEP 2-WQv Calculation'!$A$8:$A$37,'STEP 2-WQv Calculation'!$G$8:$G$37)))</f>
        <v/>
      </c>
    </row>
    <row r="129" spans="1:8" ht="13.15" customHeight="1" x14ac:dyDescent="0.35">
      <c r="A129" s="242" t="s">
        <v>396</v>
      </c>
      <c r="B129" s="243"/>
      <c r="C129" s="244"/>
      <c r="D129" s="364" t="s">
        <v>688</v>
      </c>
      <c r="E129" s="365"/>
      <c r="F129" s="365"/>
      <c r="G129" s="365"/>
      <c r="H129" s="366"/>
    </row>
    <row r="130" spans="1:8" ht="13.15" customHeight="1" x14ac:dyDescent="0.3">
      <c r="A130" s="273" t="s">
        <v>226</v>
      </c>
      <c r="B130" s="273"/>
      <c r="C130" s="273"/>
      <c r="D130" s="273"/>
      <c r="E130" s="273"/>
      <c r="F130" s="273"/>
      <c r="G130" s="273"/>
      <c r="H130" s="273"/>
    </row>
    <row r="131" spans="1:8" ht="40.5" customHeight="1" x14ac:dyDescent="0.35">
      <c r="A131" s="242" t="s">
        <v>397</v>
      </c>
      <c r="B131" s="243"/>
      <c r="C131" s="244"/>
      <c r="D131" s="44"/>
      <c r="E131" s="322" t="str">
        <f>IF(D131="","",IF(D131&lt;0.5,"Does not meet design criteria",IF(D131&lt;2,"Underdrains required","")))</f>
        <v/>
      </c>
      <c r="F131" s="323"/>
      <c r="G131" s="323"/>
      <c r="H131" s="324"/>
    </row>
    <row r="132" spans="1:8" ht="13.15" customHeight="1" x14ac:dyDescent="0.35">
      <c r="A132" s="245" t="s">
        <v>247</v>
      </c>
      <c r="B132" s="245"/>
      <c r="C132" s="245"/>
      <c r="D132" s="211"/>
      <c r="E132" s="322" t="str">
        <f>IF(D132="Yes","Does not meet design criteria","")</f>
        <v/>
      </c>
      <c r="F132" s="323"/>
      <c r="G132" s="323"/>
      <c r="H132" s="324"/>
    </row>
    <row r="133" spans="1:8" ht="24.75" customHeight="1" x14ac:dyDescent="0.35">
      <c r="A133" s="242" t="s">
        <v>398</v>
      </c>
      <c r="B133" s="243"/>
      <c r="C133" s="244"/>
      <c r="D133" s="211"/>
      <c r="E133" s="322" t="str">
        <f>IF(D133="No","Does not meet design criteria","")</f>
        <v/>
      </c>
      <c r="F133" s="323"/>
      <c r="G133" s="323"/>
      <c r="H133" s="324"/>
    </row>
    <row r="134" spans="1:8" ht="26.25" customHeight="1" x14ac:dyDescent="0.35">
      <c r="A134" s="242" t="s">
        <v>714</v>
      </c>
      <c r="B134" s="243"/>
      <c r="C134" s="244"/>
      <c r="D134" s="43"/>
      <c r="E134" s="322" t="str">
        <f>IF(D134&gt;10,"Does not meet design criteria","")</f>
        <v/>
      </c>
      <c r="F134" s="323"/>
      <c r="G134" s="323"/>
      <c r="H134" s="324"/>
    </row>
    <row r="135" spans="1:8" ht="25.5" customHeight="1" x14ac:dyDescent="0.35">
      <c r="A135" s="242" t="s">
        <v>713</v>
      </c>
      <c r="B135" s="243"/>
      <c r="C135" s="244"/>
      <c r="D135" s="43"/>
      <c r="E135" s="322" t="str">
        <f>IF(D135="","",IF(D135&lt;2,"Does not  meet design criteria",""))</f>
        <v/>
      </c>
      <c r="F135" s="323"/>
      <c r="G135" s="323"/>
      <c r="H135" s="324"/>
    </row>
    <row r="136" spans="1:8" ht="13.15" customHeight="1" x14ac:dyDescent="0.35">
      <c r="A136" s="242" t="s">
        <v>297</v>
      </c>
      <c r="B136" s="243"/>
      <c r="C136" s="244"/>
      <c r="D136" s="43"/>
      <c r="E136" s="322" t="str">
        <f>IF(D136="","",IF(D136&lt;2,"Does not meet design criteria",""))</f>
        <v/>
      </c>
      <c r="F136" s="323"/>
      <c r="G136" s="323"/>
      <c r="H136" s="324"/>
    </row>
    <row r="137" spans="1:8" ht="13.15" customHeight="1" x14ac:dyDescent="0.35">
      <c r="A137" s="242" t="s">
        <v>378</v>
      </c>
      <c r="B137" s="243"/>
      <c r="C137" s="244"/>
      <c r="D137" s="43"/>
      <c r="E137" s="322" t="str">
        <f>IF(D137="","",IF(AND(D129="Level 1 Porous Asphalt",D137&lt;3),"Does not meet design criteria",IF(AND(D129="Level 2 Porous Asphalt",D137&lt;2),"Does not meet design criteria",IF(AND(D129="Porous Concrete",D137&lt;4),"Does not meet design criteria",""))))</f>
        <v/>
      </c>
      <c r="F137" s="323"/>
      <c r="G137" s="323"/>
      <c r="H137" s="324"/>
    </row>
    <row r="138" spans="1:8" ht="13.15" customHeight="1" x14ac:dyDescent="0.35">
      <c r="A138" s="242" t="s">
        <v>399</v>
      </c>
      <c r="B138" s="243"/>
      <c r="C138" s="244"/>
      <c r="D138" s="43"/>
      <c r="E138" s="322" t="str">
        <f>IF(D129="Level 1 Porous Asphalt","Not applicable",IF(AND(D129="Level 2 Porous Asphalt",D138&lt;3),"Does not meet design criteria",IF(D129="Porous Concrete","Not applicable",IF(D129="Porous Paver","Not applicable",""))))</f>
        <v>Not applicable</v>
      </c>
      <c r="F138" s="323"/>
      <c r="G138" s="323"/>
      <c r="H138" s="324"/>
    </row>
    <row r="139" spans="1:8" ht="13.15" customHeight="1" x14ac:dyDescent="0.35">
      <c r="A139" s="242" t="s">
        <v>400</v>
      </c>
      <c r="B139" s="243"/>
      <c r="C139" s="244"/>
      <c r="D139" s="43"/>
      <c r="E139" s="322" t="str">
        <f>IF(D129="Level 1 Porous Asphalt","Not applicable",IF((D129="Level 2 Porous Asphalt"),"Not Applicable",IF(D129="Porous Concrete","Not applicable",IF(D129="Porous Paver",IF(D139&lt;2,"Does not meet design criteria",""),""))))</f>
        <v>Does not meet design criteria</v>
      </c>
      <c r="F139" s="323"/>
      <c r="G139" s="323"/>
      <c r="H139" s="324"/>
    </row>
    <row r="140" spans="1:8" ht="13.15" customHeight="1" x14ac:dyDescent="0.35">
      <c r="A140" s="242" t="s">
        <v>401</v>
      </c>
      <c r="B140" s="243"/>
      <c r="C140" s="244"/>
      <c r="D140" s="43"/>
      <c r="E140" s="322" t="str">
        <f>IF(D140="","",IF(D140&lt;1,"Does not meet design criteria",""))</f>
        <v/>
      </c>
      <c r="F140" s="323"/>
      <c r="G140" s="323"/>
      <c r="H140" s="324"/>
    </row>
    <row r="141" spans="1:8" ht="13.15" customHeight="1" x14ac:dyDescent="0.35">
      <c r="A141" s="242" t="s">
        <v>402</v>
      </c>
      <c r="B141" s="243"/>
      <c r="C141" s="244"/>
      <c r="D141" s="43"/>
      <c r="E141" s="322" t="str">
        <f>IF(D131="","",IF(AND(D131&lt;2,D141=""),"Required when underdrains are provided",IF(AND(D131&lt;2,D141&lt;10),"Does not meet design criteria","")))</f>
        <v/>
      </c>
      <c r="F141" s="323"/>
      <c r="G141" s="323"/>
      <c r="H141" s="324"/>
    </row>
    <row r="142" spans="1:8" ht="13.15" customHeight="1" x14ac:dyDescent="0.35">
      <c r="A142" s="241" t="s">
        <v>232</v>
      </c>
      <c r="B142" s="241"/>
      <c r="C142" s="241"/>
      <c r="D142" s="241"/>
      <c r="E142" s="241"/>
      <c r="F142" s="241"/>
      <c r="G142" s="241"/>
      <c r="H142" s="241"/>
    </row>
    <row r="143" spans="1:8" x14ac:dyDescent="0.35">
      <c r="A143" s="378"/>
      <c r="B143" s="379"/>
      <c r="C143" s="380"/>
      <c r="D143" s="222" t="s">
        <v>256</v>
      </c>
      <c r="E143" s="208" t="s">
        <v>257</v>
      </c>
      <c r="F143" s="375" t="s">
        <v>258</v>
      </c>
      <c r="G143" s="376"/>
      <c r="H143" s="377"/>
    </row>
    <row r="144" spans="1:8" ht="13.15" customHeight="1" x14ac:dyDescent="0.35">
      <c r="A144" s="289" t="s">
        <v>403</v>
      </c>
      <c r="B144" s="289"/>
      <c r="C144" s="198" t="s">
        <v>404</v>
      </c>
      <c r="D144" s="216"/>
      <c r="E144" s="193" t="s">
        <v>316</v>
      </c>
      <c r="F144" s="322"/>
      <c r="G144" s="323"/>
      <c r="H144" s="324"/>
    </row>
    <row r="145" spans="1:8" x14ac:dyDescent="0.35">
      <c r="A145" s="334" t="s">
        <v>405</v>
      </c>
      <c r="B145" s="334"/>
      <c r="C145" s="217" t="s">
        <v>268</v>
      </c>
      <c r="D145" s="22">
        <v>0.4</v>
      </c>
      <c r="E145" s="144"/>
      <c r="F145" s="387"/>
      <c r="G145" s="388"/>
      <c r="H145" s="389"/>
    </row>
    <row r="146" spans="1:8" ht="13.15" customHeight="1" x14ac:dyDescent="0.35">
      <c r="A146" s="334" t="s">
        <v>406</v>
      </c>
      <c r="B146" s="334"/>
      <c r="C146" s="217" t="s">
        <v>407</v>
      </c>
      <c r="D146" s="22" t="e">
        <f>ROUNDUP((F128/(D144*D145)),1)</f>
        <v>#VALUE!</v>
      </c>
      <c r="E146" s="144" t="s">
        <v>271</v>
      </c>
      <c r="F146" s="387"/>
      <c r="G146" s="388"/>
      <c r="H146" s="389"/>
    </row>
    <row r="147" spans="1:8" ht="13.15" customHeight="1" x14ac:dyDescent="0.35">
      <c r="A147" s="334" t="s">
        <v>408</v>
      </c>
      <c r="B147" s="334"/>
      <c r="C147" s="217" t="s">
        <v>407</v>
      </c>
      <c r="D147" s="22" t="e">
        <f>IF(AND(D129="Level 1 Porous Asphalt",D146&lt;0.67),0.67,IF(AND(D129="Level 2 Porous Asphalt",D146&lt;1),1,IF(AND(D129="Porous Concrete",D146&lt;0.67),0.67,IF(AND(D129="Porous Paver",D146&lt;0.67),0.67,""))))</f>
        <v>#VALUE!</v>
      </c>
      <c r="E147" s="144" t="s">
        <v>271</v>
      </c>
      <c r="F147" s="387"/>
      <c r="G147" s="388"/>
      <c r="H147" s="389"/>
    </row>
    <row r="148" spans="1:8" ht="26.25" customHeight="1" x14ac:dyDescent="0.35">
      <c r="A148" s="334" t="s">
        <v>409</v>
      </c>
      <c r="B148" s="334"/>
      <c r="C148" s="217" t="s">
        <v>407</v>
      </c>
      <c r="D148" s="216"/>
      <c r="E148" s="144" t="s">
        <v>271</v>
      </c>
      <c r="F148" s="387" t="str">
        <f>IF(D148="","",IF(D148&lt;MAX(D147,D146),"Does not meet design criteria",""))</f>
        <v/>
      </c>
      <c r="G148" s="388"/>
      <c r="H148" s="389"/>
    </row>
    <row r="149" spans="1:8" ht="25.5" customHeight="1" x14ac:dyDescent="0.35">
      <c r="A149" s="334" t="s">
        <v>410</v>
      </c>
      <c r="B149" s="334"/>
      <c r="C149" s="217" t="s">
        <v>411</v>
      </c>
      <c r="D149" s="217" t="e">
        <f>ROUNDUP(D144/D150,0)</f>
        <v>#DIV/0!</v>
      </c>
      <c r="E149" s="144" t="s">
        <v>271</v>
      </c>
      <c r="F149" s="387" t="str">
        <f>IF(D131&gt;=2,"Not required","")</f>
        <v/>
      </c>
      <c r="G149" s="388"/>
      <c r="H149" s="389"/>
    </row>
    <row r="150" spans="1:8" ht="26.25" customHeight="1" x14ac:dyDescent="0.35">
      <c r="A150" s="334" t="s">
        <v>412</v>
      </c>
      <c r="B150" s="334"/>
      <c r="C150" s="217" t="s">
        <v>214</v>
      </c>
      <c r="D150" s="30"/>
      <c r="E150" s="144" t="s">
        <v>271</v>
      </c>
      <c r="F150" s="387" t="str">
        <f>IF(D131&gt;=2,"Not required",IF(D150&gt;30,"Does not meet design criteria",""))</f>
        <v/>
      </c>
      <c r="G150" s="388"/>
      <c r="H150" s="389"/>
    </row>
    <row r="151" spans="1:8" ht="25.5" customHeight="1" x14ac:dyDescent="0.35">
      <c r="A151" s="334" t="s">
        <v>413</v>
      </c>
      <c r="B151" s="334"/>
      <c r="C151" s="217" t="s">
        <v>414</v>
      </c>
      <c r="D151" s="30"/>
      <c r="E151" s="144" t="s">
        <v>271</v>
      </c>
      <c r="F151" s="387" t="str">
        <f>IF(D131&gt;=2,"Not required","")</f>
        <v/>
      </c>
      <c r="G151" s="388"/>
      <c r="H151" s="389"/>
    </row>
    <row r="152" spans="1:8" ht="13.15" customHeight="1" x14ac:dyDescent="0.35">
      <c r="A152" s="334" t="s">
        <v>415</v>
      </c>
      <c r="B152" s="334"/>
      <c r="C152" s="217" t="s">
        <v>416</v>
      </c>
      <c r="D152" s="3" t="e">
        <f>ROUNDUP(D149/D151,0)</f>
        <v>#DIV/0!</v>
      </c>
      <c r="E152" s="144"/>
      <c r="F152" s="387" t="str">
        <f>IF(D131&gt;=2,"Not required","")</f>
        <v/>
      </c>
      <c r="G152" s="388"/>
      <c r="H152" s="389"/>
    </row>
    <row r="153" spans="1:8" ht="26.25" customHeight="1" x14ac:dyDescent="0.35">
      <c r="A153" s="334" t="s">
        <v>417</v>
      </c>
      <c r="B153" s="334"/>
      <c r="C153" s="217" t="s">
        <v>416</v>
      </c>
      <c r="D153" s="216"/>
      <c r="E153" s="144"/>
      <c r="F153" s="387" t="str">
        <f>IF(D153="","Not required",IF(D131&gt;=2,"Not required",IF(D153&lt;D152,"Does not meet design criteria","")))</f>
        <v>Not required</v>
      </c>
      <c r="G153" s="388"/>
      <c r="H153" s="389"/>
    </row>
    <row r="154" spans="1:8" ht="13.15" customHeight="1" x14ac:dyDescent="0.35">
      <c r="A154" s="390" t="s">
        <v>418</v>
      </c>
      <c r="B154" s="390"/>
      <c r="C154" s="390"/>
      <c r="D154" s="390"/>
      <c r="E154" s="390"/>
      <c r="F154" s="390"/>
      <c r="G154" s="390"/>
      <c r="H154" s="390"/>
    </row>
    <row r="155" spans="1:8" ht="13.15" customHeight="1" x14ac:dyDescent="0.35">
      <c r="A155" s="310" t="s">
        <v>241</v>
      </c>
      <c r="B155" s="311"/>
      <c r="C155" s="312"/>
      <c r="D155" s="9" t="str">
        <f>IF(A128="","",IF(D131&lt;0.5,0,IF(D132="Yes",0,IF(D133="No",0,IF(D134&gt;10,0,IF(D135&lt;2,0,IF(D136&lt;2,0,IF(AND(D129="Level 1 Porous Asphalt",D137&lt;3),0,IF(AND(D129="Level 2 Porous Asphalt",D137&lt;2),0,IF(AND(D129="Porous Concrete",D137&lt;4),0,IF(AND(D129="Level 2 Porous Asphalt",D138&lt;3),0,IF(AND(D129="Porous Paver",D139&lt;2),0,IF(D140&lt;1,0,IF(AND(D131&lt;2,D141&lt;10),0,IF(D148&lt;MAX(D146,D147,0),0,IF(D131&lt;2,F128*0.4,IF(D131&gt;=2,F128*1)))))))))))))))))</f>
        <v/>
      </c>
      <c r="E155" s="310" t="s">
        <v>2</v>
      </c>
      <c r="F155" s="311"/>
      <c r="G155" s="311"/>
      <c r="H155" s="312"/>
    </row>
    <row r="156" spans="1:8" ht="13" x14ac:dyDescent="0.35">
      <c r="A156" s="16" t="s">
        <v>56</v>
      </c>
      <c r="B156" s="225" t="str">
        <f>IF('STEP 2-WQv Calculation'!$B$4="","",'STEP 2-WQv Calculation'!$B$4)</f>
        <v/>
      </c>
      <c r="C156" s="199"/>
      <c r="D156" s="199"/>
      <c r="E156" s="199"/>
      <c r="F156" s="199"/>
      <c r="G156" s="199"/>
      <c r="H156" s="199"/>
    </row>
    <row r="157" spans="1:8" ht="13" x14ac:dyDescent="0.35">
      <c r="A157" s="241" t="s">
        <v>293</v>
      </c>
      <c r="B157" s="241"/>
      <c r="C157" s="241"/>
      <c r="D157" s="241"/>
      <c r="E157" s="241"/>
      <c r="F157" s="241"/>
      <c r="G157" s="241"/>
      <c r="H157" s="241"/>
    </row>
    <row r="158" spans="1:8" ht="38.5" x14ac:dyDescent="0.35">
      <c r="A158" s="204" t="s">
        <v>60</v>
      </c>
      <c r="B158" s="205" t="s">
        <v>61</v>
      </c>
      <c r="C158" s="205" t="s">
        <v>62</v>
      </c>
      <c r="D158" s="205" t="s">
        <v>63</v>
      </c>
      <c r="E158" s="205" t="s">
        <v>64</v>
      </c>
      <c r="F158" s="205" t="s">
        <v>65</v>
      </c>
      <c r="G158" s="205" t="s">
        <v>244</v>
      </c>
      <c r="H158" s="206" t="s">
        <v>13</v>
      </c>
    </row>
    <row r="159" spans="1:8" x14ac:dyDescent="0.35">
      <c r="A159" s="218"/>
      <c r="B159" s="3" t="str">
        <f>IF($A159="","",(LOOKUP($A159,'STEP 2-WQv Calculation'!$A$8:$A$37,'STEP 2-WQv Calculation'!$B$8:$B$37)))</f>
        <v/>
      </c>
      <c r="C159" s="3" t="str">
        <f>IF($A159="","",(LOOKUP($A159,'STEP 2-WQv Calculation'!$A$8:$A$37,'STEP 2-WQv Calculation'!$C$8:$C$37)))</f>
        <v/>
      </c>
      <c r="D159" s="212" t="str">
        <f>IF($A159="","",(LOOKUP($A159,'STEP 2-WQv Calculation'!$A$8:$A$37,'STEP 2-WQv Calculation'!$D$8:$D$37)))</f>
        <v/>
      </c>
      <c r="E159" s="3" t="str">
        <f>IF($A159="","",(LOOKUP($A159,'STEP 2-WQv Calculation'!$A$8:$A$37,'STEP 2-WQv Calculation'!$E$8:$E$37)))</f>
        <v/>
      </c>
      <c r="F159" s="217" t="str">
        <f>IF($A159="","",(LOOKUP($A159,'STEP 2-WQv Calculation'!$A$8:$A$37,'STEP 2-WQv Calculation'!$F$8:$F$37)))</f>
        <v/>
      </c>
      <c r="G159" s="22">
        <f>'STEP 2-WQv Calculation'!B36</f>
        <v>0</v>
      </c>
      <c r="H159" s="198" t="str">
        <f>IF($A159="","",(LOOKUP($A159,'STEP 2-WQv Calculation'!$A$8:$A$37,'STEP 2-WQv Calculation'!$G$8:$G$37)))</f>
        <v/>
      </c>
    </row>
    <row r="160" spans="1:8" x14ac:dyDescent="0.35">
      <c r="A160" s="242" t="s">
        <v>396</v>
      </c>
      <c r="B160" s="243"/>
      <c r="C160" s="244"/>
      <c r="D160" s="364" t="s">
        <v>688</v>
      </c>
      <c r="E160" s="365"/>
      <c r="F160" s="365"/>
      <c r="G160" s="365"/>
      <c r="H160" s="366"/>
    </row>
    <row r="161" spans="1:8" ht="13" x14ac:dyDescent="0.3">
      <c r="A161" s="273" t="s">
        <v>226</v>
      </c>
      <c r="B161" s="273"/>
      <c r="C161" s="273"/>
      <c r="D161" s="273"/>
      <c r="E161" s="273"/>
      <c r="F161" s="273"/>
      <c r="G161" s="273"/>
      <c r="H161" s="273"/>
    </row>
    <row r="162" spans="1:8" x14ac:dyDescent="0.35">
      <c r="A162" s="242" t="s">
        <v>397</v>
      </c>
      <c r="B162" s="243"/>
      <c r="C162" s="244"/>
      <c r="D162" s="44"/>
      <c r="E162" s="322" t="str">
        <f>IF(D162="","",IF(D162&lt;0.5,"Does not meet design criteria",IF(D162&lt;2,"Underdrains required","")))</f>
        <v/>
      </c>
      <c r="F162" s="323"/>
      <c r="G162" s="323"/>
      <c r="H162" s="324"/>
    </row>
    <row r="163" spans="1:8" x14ac:dyDescent="0.35">
      <c r="A163" s="245" t="s">
        <v>247</v>
      </c>
      <c r="B163" s="245"/>
      <c r="C163" s="245"/>
      <c r="D163" s="211"/>
      <c r="E163" s="322" t="str">
        <f>IF(D163="Yes","Does not meet design criteria","")</f>
        <v/>
      </c>
      <c r="F163" s="323"/>
      <c r="G163" s="323"/>
      <c r="H163" s="324"/>
    </row>
    <row r="164" spans="1:8" x14ac:dyDescent="0.35">
      <c r="A164" s="242" t="s">
        <v>398</v>
      </c>
      <c r="B164" s="243"/>
      <c r="C164" s="244"/>
      <c r="D164" s="211"/>
      <c r="E164" s="322" t="str">
        <f>IF(D164="No","Does not meet design criteria","")</f>
        <v/>
      </c>
      <c r="F164" s="323"/>
      <c r="G164" s="323"/>
      <c r="H164" s="324"/>
    </row>
    <row r="165" spans="1:8" x14ac:dyDescent="0.35">
      <c r="A165" s="242" t="s">
        <v>714</v>
      </c>
      <c r="B165" s="243"/>
      <c r="C165" s="244"/>
      <c r="D165" s="43"/>
      <c r="E165" s="322" t="str">
        <f>IF(D165&gt;10,"Does not meet design criteria","")</f>
        <v/>
      </c>
      <c r="F165" s="323"/>
      <c r="G165" s="323"/>
      <c r="H165" s="324"/>
    </row>
    <row r="166" spans="1:8" x14ac:dyDescent="0.35">
      <c r="A166" s="242" t="s">
        <v>713</v>
      </c>
      <c r="B166" s="243"/>
      <c r="C166" s="244"/>
      <c r="D166" s="43"/>
      <c r="E166" s="322" t="str">
        <f>IF(D166="","",IF(D166&lt;2,"Does not  meet design criteria",""))</f>
        <v/>
      </c>
      <c r="F166" s="323"/>
      <c r="G166" s="323"/>
      <c r="H166" s="324"/>
    </row>
    <row r="167" spans="1:8" x14ac:dyDescent="0.35">
      <c r="A167" s="242" t="s">
        <v>297</v>
      </c>
      <c r="B167" s="243"/>
      <c r="C167" s="244"/>
      <c r="D167" s="43"/>
      <c r="E167" s="322" t="str">
        <f>IF(D167="","",IF(D167&lt;2,"Does not meet design criteria",""))</f>
        <v/>
      </c>
      <c r="F167" s="323"/>
      <c r="G167" s="323"/>
      <c r="H167" s="324"/>
    </row>
    <row r="168" spans="1:8" x14ac:dyDescent="0.35">
      <c r="A168" s="242" t="s">
        <v>378</v>
      </c>
      <c r="B168" s="243"/>
      <c r="C168" s="244"/>
      <c r="D168" s="43"/>
      <c r="E168" s="322" t="str">
        <f>IF(D168="","",IF(AND(D160="Level 1 Porous Asphalt",D168&lt;3),"Does not meet design criteria",IF(AND(D160="Level 2 Porous Asphalt",D168&lt;2),"Does not meet design criteria",IF(AND(D160="Porous Concrete",D168&lt;4),"Does not meet design criteria",""))))</f>
        <v/>
      </c>
      <c r="F168" s="323"/>
      <c r="G168" s="323"/>
      <c r="H168" s="324"/>
    </row>
    <row r="169" spans="1:8" x14ac:dyDescent="0.35">
      <c r="A169" s="242" t="s">
        <v>399</v>
      </c>
      <c r="B169" s="243"/>
      <c r="C169" s="244"/>
      <c r="D169" s="43"/>
      <c r="E169" s="322" t="str">
        <f>IF(D160="Level 1 Porous Asphalt","Not applicable",IF(AND(D160="Level 2 Porous Asphalt",D169&lt;3),"Does not meet design criteria",IF(D160="Porous Concrete","Not applicable",IF(D160="Porous Paver","Not applicable",""))))</f>
        <v>Not applicable</v>
      </c>
      <c r="F169" s="323"/>
      <c r="G169" s="323"/>
      <c r="H169" s="324"/>
    </row>
    <row r="170" spans="1:8" x14ac:dyDescent="0.35">
      <c r="A170" s="242" t="s">
        <v>400</v>
      </c>
      <c r="B170" s="243"/>
      <c r="C170" s="244"/>
      <c r="D170" s="43"/>
      <c r="E170" s="322" t="str">
        <f>IF(D160="Level 1 Porous Asphalt","Not applicable",IF((D160="Level 2 Porous Asphalt"),"Not Applicable",IF(D160="Porous Concrete","Not applicable",IF(D160="Porous Paver",IF(D170&lt;2,"Does not meet design criteria",""),""))))</f>
        <v>Does not meet design criteria</v>
      </c>
      <c r="F170" s="323"/>
      <c r="G170" s="323"/>
      <c r="H170" s="324"/>
    </row>
    <row r="171" spans="1:8" x14ac:dyDescent="0.35">
      <c r="A171" s="242" t="s">
        <v>401</v>
      </c>
      <c r="B171" s="243"/>
      <c r="C171" s="244"/>
      <c r="D171" s="43"/>
      <c r="E171" s="322" t="str">
        <f>IF(D171="","",IF(D171&lt;1,"Does not meet design criteria",""))</f>
        <v/>
      </c>
      <c r="F171" s="323"/>
      <c r="G171" s="323"/>
      <c r="H171" s="324"/>
    </row>
    <row r="172" spans="1:8" x14ac:dyDescent="0.35">
      <c r="A172" s="242" t="s">
        <v>402</v>
      </c>
      <c r="B172" s="243"/>
      <c r="C172" s="244"/>
      <c r="D172" s="43"/>
      <c r="E172" s="322" t="str">
        <f>IF(D162="","",IF(AND(D162&lt;2,D172=""),"Required when underdrains are provided",IF(AND(D162&lt;2,D172&lt;10),"Does not meet design criteria","")))</f>
        <v/>
      </c>
      <c r="F172" s="323"/>
      <c r="G172" s="323"/>
      <c r="H172" s="324"/>
    </row>
    <row r="173" spans="1:8" ht="13" x14ac:dyDescent="0.35">
      <c r="A173" s="241" t="s">
        <v>232</v>
      </c>
      <c r="B173" s="241"/>
      <c r="C173" s="241"/>
      <c r="D173" s="241"/>
      <c r="E173" s="241"/>
      <c r="F173" s="241"/>
      <c r="G173" s="241"/>
      <c r="H173" s="241"/>
    </row>
    <row r="174" spans="1:8" x14ac:dyDescent="0.35">
      <c r="A174" s="378"/>
      <c r="B174" s="379"/>
      <c r="C174" s="380"/>
      <c r="D174" s="222" t="s">
        <v>256</v>
      </c>
      <c r="E174" s="208" t="s">
        <v>257</v>
      </c>
      <c r="F174" s="375" t="s">
        <v>258</v>
      </c>
      <c r="G174" s="376"/>
      <c r="H174" s="377"/>
    </row>
    <row r="175" spans="1:8" x14ac:dyDescent="0.35">
      <c r="A175" s="289" t="s">
        <v>403</v>
      </c>
      <c r="B175" s="289"/>
      <c r="C175" s="198" t="s">
        <v>404</v>
      </c>
      <c r="D175" s="216"/>
      <c r="E175" s="193" t="s">
        <v>316</v>
      </c>
      <c r="F175" s="322"/>
      <c r="G175" s="323"/>
      <c r="H175" s="324"/>
    </row>
    <row r="176" spans="1:8" x14ac:dyDescent="0.35">
      <c r="A176" s="334" t="s">
        <v>405</v>
      </c>
      <c r="B176" s="334"/>
      <c r="C176" s="217" t="s">
        <v>268</v>
      </c>
      <c r="D176" s="22">
        <v>0.4</v>
      </c>
      <c r="E176" s="144"/>
      <c r="F176" s="387"/>
      <c r="G176" s="388"/>
      <c r="H176" s="389"/>
    </row>
    <row r="177" spans="1:8" x14ac:dyDescent="0.35">
      <c r="A177" s="334" t="s">
        <v>406</v>
      </c>
      <c r="B177" s="334"/>
      <c r="C177" s="217" t="s">
        <v>407</v>
      </c>
      <c r="D177" s="22" t="e">
        <f>ROUNDUP((F159/(D175*D176)),1)</f>
        <v>#VALUE!</v>
      </c>
      <c r="E177" s="144" t="s">
        <v>271</v>
      </c>
      <c r="F177" s="387"/>
      <c r="G177" s="388"/>
      <c r="H177" s="389"/>
    </row>
    <row r="178" spans="1:8" x14ac:dyDescent="0.35">
      <c r="A178" s="334" t="s">
        <v>408</v>
      </c>
      <c r="B178" s="334"/>
      <c r="C178" s="217" t="s">
        <v>407</v>
      </c>
      <c r="D178" s="22" t="e">
        <f>IF(AND(D160="Level 1 Porous Asphalt",D177&lt;0.67),0.67,IF(AND(D160="Level 2 Porous Asphalt",D177&lt;1),1,IF(AND(D160="Porous Concrete",D177&lt;0.67),0.67,IF(AND(D160="Porous Paver",D177&lt;0.67),0.67,""))))</f>
        <v>#VALUE!</v>
      </c>
      <c r="E178" s="144" t="s">
        <v>271</v>
      </c>
      <c r="F178" s="387"/>
      <c r="G178" s="388"/>
      <c r="H178" s="389"/>
    </row>
    <row r="179" spans="1:8" x14ac:dyDescent="0.35">
      <c r="A179" s="334" t="s">
        <v>409</v>
      </c>
      <c r="B179" s="334"/>
      <c r="C179" s="217" t="s">
        <v>407</v>
      </c>
      <c r="D179" s="216"/>
      <c r="E179" s="144" t="s">
        <v>271</v>
      </c>
      <c r="F179" s="387" t="str">
        <f>IF(D179="","",IF(D179&lt;MAX(D178,D177),"Does not meet design criteria",""))</f>
        <v/>
      </c>
      <c r="G179" s="388"/>
      <c r="H179" s="389"/>
    </row>
    <row r="180" spans="1:8" x14ac:dyDescent="0.35">
      <c r="A180" s="334" t="s">
        <v>410</v>
      </c>
      <c r="B180" s="334"/>
      <c r="C180" s="217" t="s">
        <v>411</v>
      </c>
      <c r="D180" s="217" t="e">
        <f>ROUNDUP(D175/D181,0)</f>
        <v>#DIV/0!</v>
      </c>
      <c r="E180" s="144" t="s">
        <v>271</v>
      </c>
      <c r="F180" s="387" t="str">
        <f>IF(D162&gt;=2,"Not required","")</f>
        <v/>
      </c>
      <c r="G180" s="388"/>
      <c r="H180" s="389"/>
    </row>
    <row r="181" spans="1:8" x14ac:dyDescent="0.35">
      <c r="A181" s="334" t="s">
        <v>412</v>
      </c>
      <c r="B181" s="334"/>
      <c r="C181" s="217" t="s">
        <v>214</v>
      </c>
      <c r="D181" s="30"/>
      <c r="E181" s="144" t="s">
        <v>271</v>
      </c>
      <c r="F181" s="387" t="str">
        <f>IF(D162&gt;=2,"Not required",IF(D181&gt;30,"Does not meet design criteria",""))</f>
        <v/>
      </c>
      <c r="G181" s="388"/>
      <c r="H181" s="389"/>
    </row>
    <row r="182" spans="1:8" x14ac:dyDescent="0.35">
      <c r="A182" s="334" t="s">
        <v>413</v>
      </c>
      <c r="B182" s="334"/>
      <c r="C182" s="217" t="s">
        <v>414</v>
      </c>
      <c r="D182" s="30"/>
      <c r="E182" s="144" t="s">
        <v>271</v>
      </c>
      <c r="F182" s="387" t="str">
        <f>IF(D162&gt;=2,"Not required","")</f>
        <v/>
      </c>
      <c r="G182" s="388"/>
      <c r="H182" s="389"/>
    </row>
    <row r="183" spans="1:8" x14ac:dyDescent="0.35">
      <c r="A183" s="334" t="s">
        <v>415</v>
      </c>
      <c r="B183" s="334"/>
      <c r="C183" s="217" t="s">
        <v>416</v>
      </c>
      <c r="D183" s="3" t="e">
        <f>ROUNDUP(D180/D182,0)</f>
        <v>#DIV/0!</v>
      </c>
      <c r="E183" s="144"/>
      <c r="F183" s="387" t="str">
        <f>IF(D162&gt;=2,"Not required","")</f>
        <v/>
      </c>
      <c r="G183" s="388"/>
      <c r="H183" s="389"/>
    </row>
    <row r="184" spans="1:8" x14ac:dyDescent="0.35">
      <c r="A184" s="334" t="s">
        <v>417</v>
      </c>
      <c r="B184" s="334"/>
      <c r="C184" s="217" t="s">
        <v>416</v>
      </c>
      <c r="D184" s="216"/>
      <c r="E184" s="144"/>
      <c r="F184" s="387" t="str">
        <f>IF(D184="","Not required",IF(D162&gt;=2,"Not required",IF(D184&lt;D183,"Does not meet design criteria","")))</f>
        <v>Not required</v>
      </c>
      <c r="G184" s="388"/>
      <c r="H184" s="389"/>
    </row>
    <row r="185" spans="1:8" ht="13" x14ac:dyDescent="0.35">
      <c r="A185" s="390" t="s">
        <v>418</v>
      </c>
      <c r="B185" s="390"/>
      <c r="C185" s="390"/>
      <c r="D185" s="390"/>
      <c r="E185" s="390"/>
      <c r="F185" s="390"/>
      <c r="G185" s="390"/>
      <c r="H185" s="390"/>
    </row>
    <row r="186" spans="1:8" ht="13" x14ac:dyDescent="0.35">
      <c r="A186" s="310" t="s">
        <v>241</v>
      </c>
      <c r="B186" s="311"/>
      <c r="C186" s="312"/>
      <c r="D186" s="9" t="str">
        <f>IF(A159="","",IF(D162&lt;0.5,0,IF(D163="Yes",0,IF(D164="No",0,IF(D165&gt;10,0,IF(D166&lt;2,0,IF(D167&lt;2,0,IF(AND(D160="Level 1 Porous Asphalt",D168&lt;3),0,IF(AND(D160="Level 2 Porous Asphalt",D168&lt;2),0,IF(AND(D160="Porous Concrete",D168&lt;4),0,IF(AND(D160="Level 2 Porous Asphalt",D169&lt;3),0,IF(AND(D160="Porous Paver",D170&lt;2),0,IF(D171&lt;1,0,IF(AND(D162&lt;2,D172&lt;10),0,IF(D179&lt;MAX(D177,D178,0),0,IF(D162&lt;2,F159*0.4,IF(D162&gt;=2,F159*1)))))))))))))))))</f>
        <v/>
      </c>
      <c r="E186" s="310" t="s">
        <v>2</v>
      </c>
      <c r="F186" s="311"/>
      <c r="G186" s="311"/>
      <c r="H186" s="312"/>
    </row>
    <row r="187" spans="1:8" ht="13" x14ac:dyDescent="0.35">
      <c r="A187" s="16" t="s">
        <v>56</v>
      </c>
      <c r="B187" s="225" t="str">
        <f>IF('STEP 2-WQv Calculation'!$B$4="","",'STEP 2-WQv Calculation'!$B$4)</f>
        <v/>
      </c>
      <c r="C187" s="199"/>
      <c r="D187" s="199"/>
      <c r="E187" s="199"/>
      <c r="F187" s="199"/>
      <c r="G187" s="199"/>
      <c r="H187" s="199"/>
    </row>
    <row r="188" spans="1:8" ht="13" x14ac:dyDescent="0.35">
      <c r="A188" s="241" t="s">
        <v>293</v>
      </c>
      <c r="B188" s="241"/>
      <c r="C188" s="241"/>
      <c r="D188" s="241"/>
      <c r="E188" s="241"/>
      <c r="F188" s="241"/>
      <c r="G188" s="241"/>
      <c r="H188" s="241"/>
    </row>
    <row r="189" spans="1:8" ht="38.5" x14ac:dyDescent="0.35">
      <c r="A189" s="204" t="s">
        <v>60</v>
      </c>
      <c r="B189" s="205" t="s">
        <v>61</v>
      </c>
      <c r="C189" s="205" t="s">
        <v>62</v>
      </c>
      <c r="D189" s="205" t="s">
        <v>63</v>
      </c>
      <c r="E189" s="205" t="s">
        <v>64</v>
      </c>
      <c r="F189" s="205" t="s">
        <v>65</v>
      </c>
      <c r="G189" s="205" t="s">
        <v>244</v>
      </c>
      <c r="H189" s="206" t="s">
        <v>13</v>
      </c>
    </row>
    <row r="190" spans="1:8" x14ac:dyDescent="0.35">
      <c r="A190" s="218"/>
      <c r="B190" s="3" t="str">
        <f>IF($A190="","",(LOOKUP($A190,'STEP 2-WQv Calculation'!$A$8:$A$37,'STEP 2-WQv Calculation'!$B$8:$B$37)))</f>
        <v/>
      </c>
      <c r="C190" s="3" t="str">
        <f>IF($A190="","",(LOOKUP($A190,'STEP 2-WQv Calculation'!$A$8:$A$37,'STEP 2-WQv Calculation'!$C$8:$C$37)))</f>
        <v/>
      </c>
      <c r="D190" s="212" t="str">
        <f>IF($A190="","",(LOOKUP($A190,'STEP 2-WQv Calculation'!$A$8:$A$37,'STEP 2-WQv Calculation'!$D$8:$D$37)))</f>
        <v/>
      </c>
      <c r="E190" s="3" t="str">
        <f>IF($A190="","",(LOOKUP($A190,'STEP 2-WQv Calculation'!$A$8:$A$37,'STEP 2-WQv Calculation'!$E$8:$E$37)))</f>
        <v/>
      </c>
      <c r="F190" s="217" t="str">
        <f>IF($A190="","",(LOOKUP($A190,'STEP 2-WQv Calculation'!$A$8:$A$37,'STEP 2-WQv Calculation'!$F$8:$F$37)))</f>
        <v/>
      </c>
      <c r="G190" s="22">
        <f>'STEP 2-WQv Calculation'!B67</f>
        <v>0</v>
      </c>
      <c r="H190" s="198" t="str">
        <f>IF($A190="","",(LOOKUP($A190,'STEP 2-WQv Calculation'!$A$8:$A$37,'STEP 2-WQv Calculation'!$G$8:$G$37)))</f>
        <v/>
      </c>
    </row>
    <row r="191" spans="1:8" x14ac:dyDescent="0.35">
      <c r="A191" s="242" t="s">
        <v>396</v>
      </c>
      <c r="B191" s="243"/>
      <c r="C191" s="244"/>
      <c r="D191" s="364" t="s">
        <v>688</v>
      </c>
      <c r="E191" s="365"/>
      <c r="F191" s="365"/>
      <c r="G191" s="365"/>
      <c r="H191" s="366"/>
    </row>
    <row r="192" spans="1:8" ht="13" x14ac:dyDescent="0.3">
      <c r="A192" s="273" t="s">
        <v>226</v>
      </c>
      <c r="B192" s="273"/>
      <c r="C192" s="273"/>
      <c r="D192" s="273"/>
      <c r="E192" s="273"/>
      <c r="F192" s="273"/>
      <c r="G192" s="273"/>
      <c r="H192" s="273"/>
    </row>
    <row r="193" spans="1:8" x14ac:dyDescent="0.35">
      <c r="A193" s="242" t="s">
        <v>397</v>
      </c>
      <c r="B193" s="243"/>
      <c r="C193" s="244"/>
      <c r="D193" s="44"/>
      <c r="E193" s="322" t="str">
        <f>IF(D193="","",IF(D193&lt;0.5,"Does not meet design criteria",IF(D193&lt;2,"Underdrains required","")))</f>
        <v/>
      </c>
      <c r="F193" s="323"/>
      <c r="G193" s="323"/>
      <c r="H193" s="324"/>
    </row>
    <row r="194" spans="1:8" x14ac:dyDescent="0.35">
      <c r="A194" s="245" t="s">
        <v>247</v>
      </c>
      <c r="B194" s="245"/>
      <c r="C194" s="245"/>
      <c r="D194" s="211"/>
      <c r="E194" s="322" t="str">
        <f>IF(D194="Yes","Does not meet design criteria","")</f>
        <v/>
      </c>
      <c r="F194" s="323"/>
      <c r="G194" s="323"/>
      <c r="H194" s="324"/>
    </row>
    <row r="195" spans="1:8" x14ac:dyDescent="0.35">
      <c r="A195" s="242" t="s">
        <v>398</v>
      </c>
      <c r="B195" s="243"/>
      <c r="C195" s="244"/>
      <c r="D195" s="211"/>
      <c r="E195" s="322" t="str">
        <f>IF(D195="No","Does not meet design criteria","")</f>
        <v/>
      </c>
      <c r="F195" s="323"/>
      <c r="G195" s="323"/>
      <c r="H195" s="324"/>
    </row>
    <row r="196" spans="1:8" x14ac:dyDescent="0.35">
      <c r="A196" s="242" t="s">
        <v>714</v>
      </c>
      <c r="B196" s="243"/>
      <c r="C196" s="244"/>
      <c r="D196" s="43"/>
      <c r="E196" s="322" t="str">
        <f>IF(D196&gt;10,"Does not meet design criteria","")</f>
        <v/>
      </c>
      <c r="F196" s="323"/>
      <c r="G196" s="323"/>
      <c r="H196" s="324"/>
    </row>
    <row r="197" spans="1:8" x14ac:dyDescent="0.35">
      <c r="A197" s="242" t="s">
        <v>713</v>
      </c>
      <c r="B197" s="243"/>
      <c r="C197" s="244"/>
      <c r="D197" s="43"/>
      <c r="E197" s="322" t="str">
        <f>IF(D197="","",IF(D197&lt;2,"Does not  meet design criteria",""))</f>
        <v/>
      </c>
      <c r="F197" s="323"/>
      <c r="G197" s="323"/>
      <c r="H197" s="324"/>
    </row>
    <row r="198" spans="1:8" x14ac:dyDescent="0.35">
      <c r="A198" s="242" t="s">
        <v>297</v>
      </c>
      <c r="B198" s="243"/>
      <c r="C198" s="244"/>
      <c r="D198" s="43"/>
      <c r="E198" s="322" t="str">
        <f>IF(D198="","",IF(D198&lt;2,"Does not meet design criteria",""))</f>
        <v/>
      </c>
      <c r="F198" s="323"/>
      <c r="G198" s="323"/>
      <c r="H198" s="324"/>
    </row>
    <row r="199" spans="1:8" x14ac:dyDescent="0.35">
      <c r="A199" s="242" t="s">
        <v>378</v>
      </c>
      <c r="B199" s="243"/>
      <c r="C199" s="244"/>
      <c r="D199" s="43"/>
      <c r="E199" s="322" t="str">
        <f>IF(D199="","",IF(AND(D191="Level 1 Porous Asphalt",D199&lt;3),"Does not meet design criteria",IF(AND(D191="Level 2 Porous Asphalt",D199&lt;2),"Does not meet design criteria",IF(AND(D191="Porous Concrete",D199&lt;4),"Does not meet design criteria",""))))</f>
        <v/>
      </c>
      <c r="F199" s="323"/>
      <c r="G199" s="323"/>
      <c r="H199" s="324"/>
    </row>
    <row r="200" spans="1:8" x14ac:dyDescent="0.35">
      <c r="A200" s="242" t="s">
        <v>399</v>
      </c>
      <c r="B200" s="243"/>
      <c r="C200" s="244"/>
      <c r="D200" s="43"/>
      <c r="E200" s="322" t="str">
        <f>IF(D191="Level 1 Porous Asphalt","Not applicable",IF(AND(D191="Level 2 Porous Asphalt",D200&lt;3),"Does not meet design criteria",IF(D191="Porous Concrete","Not applicable",IF(D191="Porous Paver","Not applicable",""))))</f>
        <v>Not applicable</v>
      </c>
      <c r="F200" s="323"/>
      <c r="G200" s="323"/>
      <c r="H200" s="324"/>
    </row>
    <row r="201" spans="1:8" x14ac:dyDescent="0.35">
      <c r="A201" s="242" t="s">
        <v>400</v>
      </c>
      <c r="B201" s="243"/>
      <c r="C201" s="244"/>
      <c r="D201" s="43"/>
      <c r="E201" s="322" t="str">
        <f>IF(D191="Level 1 Porous Asphalt","Not applicable",IF((D191="Level 2 Porous Asphalt"),"Not Applicable",IF(D191="Porous Concrete","Not applicable",IF(D191="Porous Paver",IF(D201&lt;2,"Does not meet design criteria",""),""))))</f>
        <v>Does not meet design criteria</v>
      </c>
      <c r="F201" s="323"/>
      <c r="G201" s="323"/>
      <c r="H201" s="324"/>
    </row>
    <row r="202" spans="1:8" x14ac:dyDescent="0.35">
      <c r="A202" s="242" t="s">
        <v>401</v>
      </c>
      <c r="B202" s="243"/>
      <c r="C202" s="244"/>
      <c r="D202" s="43"/>
      <c r="E202" s="322" t="str">
        <f>IF(D202="","",IF(D202&lt;1,"Does not meet design criteria",""))</f>
        <v/>
      </c>
      <c r="F202" s="323"/>
      <c r="G202" s="323"/>
      <c r="H202" s="324"/>
    </row>
    <row r="203" spans="1:8" x14ac:dyDescent="0.35">
      <c r="A203" s="242" t="s">
        <v>402</v>
      </c>
      <c r="B203" s="243"/>
      <c r="C203" s="244"/>
      <c r="D203" s="43"/>
      <c r="E203" s="322" t="str">
        <f>IF(D193="","",IF(AND(D193&lt;2,D203=""),"Required when underdrains are provided",IF(AND(D193&lt;2,D203&lt;10),"Does not meet design criteria","")))</f>
        <v/>
      </c>
      <c r="F203" s="323"/>
      <c r="G203" s="323"/>
      <c r="H203" s="324"/>
    </row>
    <row r="204" spans="1:8" ht="13" x14ac:dyDescent="0.35">
      <c r="A204" s="241" t="s">
        <v>232</v>
      </c>
      <c r="B204" s="241"/>
      <c r="C204" s="241"/>
      <c r="D204" s="241"/>
      <c r="E204" s="241"/>
      <c r="F204" s="241"/>
      <c r="G204" s="241"/>
      <c r="H204" s="241"/>
    </row>
    <row r="205" spans="1:8" x14ac:dyDescent="0.35">
      <c r="A205" s="378"/>
      <c r="B205" s="379"/>
      <c r="C205" s="380"/>
      <c r="D205" s="222" t="s">
        <v>256</v>
      </c>
      <c r="E205" s="208" t="s">
        <v>257</v>
      </c>
      <c r="F205" s="375" t="s">
        <v>258</v>
      </c>
      <c r="G205" s="376"/>
      <c r="H205" s="377"/>
    </row>
    <row r="206" spans="1:8" x14ac:dyDescent="0.35">
      <c r="A206" s="289" t="s">
        <v>403</v>
      </c>
      <c r="B206" s="289"/>
      <c r="C206" s="198" t="s">
        <v>404</v>
      </c>
      <c r="D206" s="216"/>
      <c r="E206" s="193" t="s">
        <v>316</v>
      </c>
      <c r="F206" s="322"/>
      <c r="G206" s="323"/>
      <c r="H206" s="324"/>
    </row>
    <row r="207" spans="1:8" x14ac:dyDescent="0.35">
      <c r="A207" s="334" t="s">
        <v>405</v>
      </c>
      <c r="B207" s="334"/>
      <c r="C207" s="217" t="s">
        <v>268</v>
      </c>
      <c r="D207" s="22">
        <v>0.4</v>
      </c>
      <c r="E207" s="144"/>
      <c r="F207" s="387"/>
      <c r="G207" s="388"/>
      <c r="H207" s="389"/>
    </row>
    <row r="208" spans="1:8" x14ac:dyDescent="0.35">
      <c r="A208" s="334" t="s">
        <v>406</v>
      </c>
      <c r="B208" s="334"/>
      <c r="C208" s="217" t="s">
        <v>407</v>
      </c>
      <c r="D208" s="22" t="e">
        <f>ROUNDUP((F190/(D206*D207)),1)</f>
        <v>#VALUE!</v>
      </c>
      <c r="E208" s="144" t="s">
        <v>271</v>
      </c>
      <c r="F208" s="387"/>
      <c r="G208" s="388"/>
      <c r="H208" s="389"/>
    </row>
    <row r="209" spans="1:8" x14ac:dyDescent="0.35">
      <c r="A209" s="334" t="s">
        <v>408</v>
      </c>
      <c r="B209" s="334"/>
      <c r="C209" s="217" t="s">
        <v>407</v>
      </c>
      <c r="D209" s="22" t="e">
        <f>IF(AND(D191="Level 1 Porous Asphalt",D208&lt;0.67),0.67,IF(AND(D191="Level 2 Porous Asphalt",D208&lt;1),1,IF(AND(D191="Porous Concrete",D208&lt;0.67),0.67,IF(AND(D191="Porous Paver",D208&lt;0.67),0.67,""))))</f>
        <v>#VALUE!</v>
      </c>
      <c r="E209" s="144" t="s">
        <v>271</v>
      </c>
      <c r="F209" s="387"/>
      <c r="G209" s="388"/>
      <c r="H209" s="389"/>
    </row>
    <row r="210" spans="1:8" x14ac:dyDescent="0.35">
      <c r="A210" s="334" t="s">
        <v>409</v>
      </c>
      <c r="B210" s="334"/>
      <c r="C210" s="217" t="s">
        <v>407</v>
      </c>
      <c r="D210" s="216"/>
      <c r="E210" s="144" t="s">
        <v>271</v>
      </c>
      <c r="F210" s="387" t="str">
        <f>IF(D210="","",IF(D210&lt;MAX(D209,D208),"Does not meet design criteria",""))</f>
        <v/>
      </c>
      <c r="G210" s="388"/>
      <c r="H210" s="389"/>
    </row>
    <row r="211" spans="1:8" x14ac:dyDescent="0.35">
      <c r="A211" s="334" t="s">
        <v>410</v>
      </c>
      <c r="B211" s="334"/>
      <c r="C211" s="217" t="s">
        <v>411</v>
      </c>
      <c r="D211" s="217" t="e">
        <f>ROUNDUP(D206/D212,0)</f>
        <v>#DIV/0!</v>
      </c>
      <c r="E211" s="144" t="s">
        <v>271</v>
      </c>
      <c r="F211" s="387" t="str">
        <f>IF(D193&gt;=2,"Not required","")</f>
        <v/>
      </c>
      <c r="G211" s="388"/>
      <c r="H211" s="389"/>
    </row>
    <row r="212" spans="1:8" x14ac:dyDescent="0.35">
      <c r="A212" s="334" t="s">
        <v>412</v>
      </c>
      <c r="B212" s="334"/>
      <c r="C212" s="217" t="s">
        <v>214</v>
      </c>
      <c r="D212" s="30"/>
      <c r="E212" s="144" t="s">
        <v>271</v>
      </c>
      <c r="F212" s="387" t="str">
        <f>IF(D193&gt;=2,"Not required",IF(D212&gt;30,"Does not meet design criteria",""))</f>
        <v/>
      </c>
      <c r="G212" s="388"/>
      <c r="H212" s="389"/>
    </row>
    <row r="213" spans="1:8" x14ac:dyDescent="0.35">
      <c r="A213" s="334" t="s">
        <v>413</v>
      </c>
      <c r="B213" s="334"/>
      <c r="C213" s="217" t="s">
        <v>414</v>
      </c>
      <c r="D213" s="30"/>
      <c r="E213" s="144" t="s">
        <v>271</v>
      </c>
      <c r="F213" s="387" t="str">
        <f>IF(D193&gt;=2,"Not required","")</f>
        <v/>
      </c>
      <c r="G213" s="388"/>
      <c r="H213" s="389"/>
    </row>
    <row r="214" spans="1:8" x14ac:dyDescent="0.35">
      <c r="A214" s="334" t="s">
        <v>415</v>
      </c>
      <c r="B214" s="334"/>
      <c r="C214" s="217" t="s">
        <v>416</v>
      </c>
      <c r="D214" s="3" t="e">
        <f>ROUNDUP(D211/D213,0)</f>
        <v>#DIV/0!</v>
      </c>
      <c r="E214" s="144"/>
      <c r="F214" s="387" t="str">
        <f>IF(D193&gt;=2,"Not required","")</f>
        <v/>
      </c>
      <c r="G214" s="388"/>
      <c r="H214" s="389"/>
    </row>
    <row r="215" spans="1:8" x14ac:dyDescent="0.35">
      <c r="A215" s="334" t="s">
        <v>417</v>
      </c>
      <c r="B215" s="334"/>
      <c r="C215" s="217" t="s">
        <v>416</v>
      </c>
      <c r="D215" s="216"/>
      <c r="E215" s="144"/>
      <c r="F215" s="387" t="str">
        <f>IF(D215="","Not required",IF(D193&gt;=2,"Not required",IF(D215&lt;D214,"Does not meet design criteria","")))</f>
        <v>Not required</v>
      </c>
      <c r="G215" s="388"/>
      <c r="H215" s="389"/>
    </row>
    <row r="216" spans="1:8" ht="13" x14ac:dyDescent="0.35">
      <c r="A216" s="390" t="s">
        <v>418</v>
      </c>
      <c r="B216" s="390"/>
      <c r="C216" s="390"/>
      <c r="D216" s="390"/>
      <c r="E216" s="390"/>
      <c r="F216" s="390"/>
      <c r="G216" s="390"/>
      <c r="H216" s="390"/>
    </row>
    <row r="217" spans="1:8" ht="13" x14ac:dyDescent="0.35">
      <c r="A217" s="310" t="s">
        <v>241</v>
      </c>
      <c r="B217" s="311"/>
      <c r="C217" s="312"/>
      <c r="D217" s="9" t="str">
        <f>IF(A190="","",IF(D193&lt;0.5,0,IF(D194="Yes",0,IF(D195="No",0,IF(D196&gt;10,0,IF(D197&lt;2,0,IF(D198&lt;2,0,IF(AND(D191="Level 1 Porous Asphalt",D199&lt;3),0,IF(AND(D191="Level 2 Porous Asphalt",D199&lt;2),0,IF(AND(D191="Porous Concrete",D199&lt;4),0,IF(AND(D191="Level 2 Porous Asphalt",D200&lt;3),0,IF(AND(D191="Porous Paver",D201&lt;2),0,IF(D202&lt;1,0,IF(AND(D193&lt;2,D203&lt;10),0,IF(D210&lt;MAX(D208,D209,0),0,IF(D193&lt;2,F190*0.4,IF(D193&gt;=2,F190*1)))))))))))))))))</f>
        <v/>
      </c>
      <c r="E217" s="310" t="s">
        <v>2</v>
      </c>
      <c r="F217" s="311"/>
      <c r="G217" s="311"/>
      <c r="H217" s="312"/>
    </row>
    <row r="218" spans="1:8" ht="13" x14ac:dyDescent="0.35">
      <c r="A218" s="16" t="s">
        <v>56</v>
      </c>
      <c r="B218" s="225" t="str">
        <f>IF('STEP 2-WQv Calculation'!$B$4="","",'STEP 2-WQv Calculation'!$B$4)</f>
        <v/>
      </c>
      <c r="C218" s="199"/>
      <c r="D218" s="199"/>
      <c r="E218" s="199"/>
      <c r="F218" s="199"/>
      <c r="G218" s="199"/>
      <c r="H218" s="199"/>
    </row>
    <row r="219" spans="1:8" ht="13" x14ac:dyDescent="0.35">
      <c r="A219" s="241" t="s">
        <v>293</v>
      </c>
      <c r="B219" s="241"/>
      <c r="C219" s="241"/>
      <c r="D219" s="241"/>
      <c r="E219" s="241"/>
      <c r="F219" s="241"/>
      <c r="G219" s="241"/>
      <c r="H219" s="241"/>
    </row>
    <row r="220" spans="1:8" ht="38.5" x14ac:dyDescent="0.35">
      <c r="A220" s="204" t="s">
        <v>60</v>
      </c>
      <c r="B220" s="205" t="s">
        <v>61</v>
      </c>
      <c r="C220" s="205" t="s">
        <v>62</v>
      </c>
      <c r="D220" s="205" t="s">
        <v>63</v>
      </c>
      <c r="E220" s="205" t="s">
        <v>64</v>
      </c>
      <c r="F220" s="205" t="s">
        <v>65</v>
      </c>
      <c r="G220" s="205" t="s">
        <v>244</v>
      </c>
      <c r="H220" s="206" t="s">
        <v>13</v>
      </c>
    </row>
    <row r="221" spans="1:8" x14ac:dyDescent="0.35">
      <c r="A221" s="218"/>
      <c r="B221" s="3" t="str">
        <f>IF($A221="","",(LOOKUP($A221,'STEP 2-WQv Calculation'!$A$8:$A$37,'STEP 2-WQv Calculation'!$B$8:$B$37)))</f>
        <v/>
      </c>
      <c r="C221" s="3" t="str">
        <f>IF($A221="","",(LOOKUP($A221,'STEP 2-WQv Calculation'!$A$8:$A$37,'STEP 2-WQv Calculation'!$C$8:$C$37)))</f>
        <v/>
      </c>
      <c r="D221" s="212" t="str">
        <f>IF($A221="","",(LOOKUP($A221,'STEP 2-WQv Calculation'!$A$8:$A$37,'STEP 2-WQv Calculation'!$D$8:$D$37)))</f>
        <v/>
      </c>
      <c r="E221" s="3" t="str">
        <f>IF($A221="","",(LOOKUP($A221,'STEP 2-WQv Calculation'!$A$8:$A$37,'STEP 2-WQv Calculation'!$E$8:$E$37)))</f>
        <v/>
      </c>
      <c r="F221" s="217" t="str">
        <f>IF($A221="","",(LOOKUP($A221,'STEP 2-WQv Calculation'!$A$8:$A$37,'STEP 2-WQv Calculation'!$F$8:$F$37)))</f>
        <v/>
      </c>
      <c r="G221" s="22">
        <f>'STEP 2-WQv Calculation'!B98</f>
        <v>0</v>
      </c>
      <c r="H221" s="198" t="str">
        <f>IF($A221="","",(LOOKUP($A221,'STEP 2-WQv Calculation'!$A$8:$A$37,'STEP 2-WQv Calculation'!$G$8:$G$37)))</f>
        <v/>
      </c>
    </row>
    <row r="222" spans="1:8" x14ac:dyDescent="0.35">
      <c r="A222" s="242" t="s">
        <v>396</v>
      </c>
      <c r="B222" s="243"/>
      <c r="C222" s="244"/>
      <c r="D222" s="364" t="s">
        <v>688</v>
      </c>
      <c r="E222" s="365"/>
      <c r="F222" s="365"/>
      <c r="G222" s="365"/>
      <c r="H222" s="366"/>
    </row>
    <row r="223" spans="1:8" ht="13" x14ac:dyDescent="0.3">
      <c r="A223" s="273" t="s">
        <v>226</v>
      </c>
      <c r="B223" s="273"/>
      <c r="C223" s="273"/>
      <c r="D223" s="273"/>
      <c r="E223" s="273"/>
      <c r="F223" s="273"/>
      <c r="G223" s="273"/>
      <c r="H223" s="273"/>
    </row>
    <row r="224" spans="1:8" x14ac:dyDescent="0.35">
      <c r="A224" s="242" t="s">
        <v>397</v>
      </c>
      <c r="B224" s="243"/>
      <c r="C224" s="244"/>
      <c r="D224" s="44"/>
      <c r="E224" s="322" t="str">
        <f>IF(D224="","",IF(D224&lt;0.5,"Does not meet design criteria",IF(D224&lt;2,"Underdrains required","")))</f>
        <v/>
      </c>
      <c r="F224" s="323"/>
      <c r="G224" s="323"/>
      <c r="H224" s="324"/>
    </row>
    <row r="225" spans="1:8" x14ac:dyDescent="0.35">
      <c r="A225" s="245" t="s">
        <v>247</v>
      </c>
      <c r="B225" s="245"/>
      <c r="C225" s="245"/>
      <c r="D225" s="211"/>
      <c r="E225" s="322" t="str">
        <f>IF(D225="Yes","Does not meet design criteria","")</f>
        <v/>
      </c>
      <c r="F225" s="323"/>
      <c r="G225" s="323"/>
      <c r="H225" s="324"/>
    </row>
    <row r="226" spans="1:8" x14ac:dyDescent="0.35">
      <c r="A226" s="242" t="s">
        <v>398</v>
      </c>
      <c r="B226" s="243"/>
      <c r="C226" s="244"/>
      <c r="D226" s="211"/>
      <c r="E226" s="322" t="str">
        <f>IF(D226="No","Does not meet design criteria","")</f>
        <v/>
      </c>
      <c r="F226" s="323"/>
      <c r="G226" s="323"/>
      <c r="H226" s="324"/>
    </row>
    <row r="227" spans="1:8" x14ac:dyDescent="0.35">
      <c r="A227" s="242" t="s">
        <v>714</v>
      </c>
      <c r="B227" s="243"/>
      <c r="C227" s="244"/>
      <c r="D227" s="43"/>
      <c r="E227" s="322" t="str">
        <f>IF(D227&gt;10,"Does not meet design criteria","")</f>
        <v/>
      </c>
      <c r="F227" s="323"/>
      <c r="G227" s="323"/>
      <c r="H227" s="324"/>
    </row>
    <row r="228" spans="1:8" x14ac:dyDescent="0.35">
      <c r="A228" s="242" t="s">
        <v>713</v>
      </c>
      <c r="B228" s="243"/>
      <c r="C228" s="244"/>
      <c r="D228" s="43"/>
      <c r="E228" s="322" t="str">
        <f>IF(D228="","",IF(D228&lt;2,"Does not  meet design criteria",""))</f>
        <v/>
      </c>
      <c r="F228" s="323"/>
      <c r="G228" s="323"/>
      <c r="H228" s="324"/>
    </row>
    <row r="229" spans="1:8" x14ac:dyDescent="0.35">
      <c r="A229" s="242" t="s">
        <v>297</v>
      </c>
      <c r="B229" s="243"/>
      <c r="C229" s="244"/>
      <c r="D229" s="43"/>
      <c r="E229" s="322" t="str">
        <f>IF(D229="","",IF(D229&lt;2,"Does not meet design criteria",""))</f>
        <v/>
      </c>
      <c r="F229" s="323"/>
      <c r="G229" s="323"/>
      <c r="H229" s="324"/>
    </row>
    <row r="230" spans="1:8" x14ac:dyDescent="0.35">
      <c r="A230" s="242" t="s">
        <v>378</v>
      </c>
      <c r="B230" s="243"/>
      <c r="C230" s="244"/>
      <c r="D230" s="43"/>
      <c r="E230" s="322" t="str">
        <f>IF(D230="","",IF(AND(D222="Level 1 Porous Asphalt",D230&lt;3),"Does not meet design criteria",IF(AND(D222="Level 2 Porous Asphalt",D230&lt;2),"Does not meet design criteria",IF(AND(D222="Porous Concrete",D230&lt;4),"Does not meet design criteria",""))))</f>
        <v/>
      </c>
      <c r="F230" s="323"/>
      <c r="G230" s="323"/>
      <c r="H230" s="324"/>
    </row>
    <row r="231" spans="1:8" x14ac:dyDescent="0.35">
      <c r="A231" s="242" t="s">
        <v>399</v>
      </c>
      <c r="B231" s="243"/>
      <c r="C231" s="244"/>
      <c r="D231" s="43"/>
      <c r="E231" s="322" t="str">
        <f>IF(D222="Level 1 Porous Asphalt","Not applicable",IF(AND(D222="Level 2 Porous Asphalt",D231&lt;3),"Does not meet design criteria",IF(D222="Porous Concrete","Not applicable",IF(D222="Porous Paver","Not applicable",""))))</f>
        <v>Not applicable</v>
      </c>
      <c r="F231" s="323"/>
      <c r="G231" s="323"/>
      <c r="H231" s="324"/>
    </row>
    <row r="232" spans="1:8" x14ac:dyDescent="0.35">
      <c r="A232" s="242" t="s">
        <v>400</v>
      </c>
      <c r="B232" s="243"/>
      <c r="C232" s="244"/>
      <c r="D232" s="43"/>
      <c r="E232" s="322" t="str">
        <f>IF(D222="Level 1 Porous Asphalt","Not applicable",IF((D222="Level 2 Porous Asphalt"),"Not Applicable",IF(D222="Porous Concrete","Not applicable",IF(D222="Porous Paver",IF(D232&lt;2,"Does not meet design criteria",""),""))))</f>
        <v>Does not meet design criteria</v>
      </c>
      <c r="F232" s="323"/>
      <c r="G232" s="323"/>
      <c r="H232" s="324"/>
    </row>
    <row r="233" spans="1:8" x14ac:dyDescent="0.35">
      <c r="A233" s="242" t="s">
        <v>401</v>
      </c>
      <c r="B233" s="243"/>
      <c r="C233" s="244"/>
      <c r="D233" s="43"/>
      <c r="E233" s="322" t="str">
        <f>IF(D233="","",IF(D233&lt;1,"Does not meet design criteria",""))</f>
        <v/>
      </c>
      <c r="F233" s="323"/>
      <c r="G233" s="323"/>
      <c r="H233" s="324"/>
    </row>
    <row r="234" spans="1:8" x14ac:dyDescent="0.35">
      <c r="A234" s="242" t="s">
        <v>402</v>
      </c>
      <c r="B234" s="243"/>
      <c r="C234" s="244"/>
      <c r="D234" s="43"/>
      <c r="E234" s="322" t="str">
        <f>IF(D224="","",IF(AND(D224&lt;2,D234=""),"Required when underdrains are provided",IF(AND(D224&lt;2,D234&lt;10),"Does not meet design criteria","")))</f>
        <v/>
      </c>
      <c r="F234" s="323"/>
      <c r="G234" s="323"/>
      <c r="H234" s="324"/>
    </row>
    <row r="235" spans="1:8" ht="13" x14ac:dyDescent="0.35">
      <c r="A235" s="241" t="s">
        <v>232</v>
      </c>
      <c r="B235" s="241"/>
      <c r="C235" s="241"/>
      <c r="D235" s="241"/>
      <c r="E235" s="241"/>
      <c r="F235" s="241"/>
      <c r="G235" s="241"/>
      <c r="H235" s="241"/>
    </row>
    <row r="236" spans="1:8" x14ac:dyDescent="0.35">
      <c r="A236" s="378"/>
      <c r="B236" s="379"/>
      <c r="C236" s="380"/>
      <c r="D236" s="222" t="s">
        <v>256</v>
      </c>
      <c r="E236" s="208" t="s">
        <v>257</v>
      </c>
      <c r="F236" s="375" t="s">
        <v>258</v>
      </c>
      <c r="G236" s="376"/>
      <c r="H236" s="377"/>
    </row>
    <row r="237" spans="1:8" x14ac:dyDescent="0.35">
      <c r="A237" s="289" t="s">
        <v>403</v>
      </c>
      <c r="B237" s="289"/>
      <c r="C237" s="198" t="s">
        <v>404</v>
      </c>
      <c r="D237" s="216"/>
      <c r="E237" s="193" t="s">
        <v>316</v>
      </c>
      <c r="F237" s="322"/>
      <c r="G237" s="323"/>
      <c r="H237" s="324"/>
    </row>
    <row r="238" spans="1:8" x14ac:dyDescent="0.35">
      <c r="A238" s="334" t="s">
        <v>405</v>
      </c>
      <c r="B238" s="334"/>
      <c r="C238" s="217" t="s">
        <v>268</v>
      </c>
      <c r="D238" s="22">
        <v>0.4</v>
      </c>
      <c r="E238" s="144"/>
      <c r="F238" s="387"/>
      <c r="G238" s="388"/>
      <c r="H238" s="389"/>
    </row>
    <row r="239" spans="1:8" x14ac:dyDescent="0.35">
      <c r="A239" s="334" t="s">
        <v>406</v>
      </c>
      <c r="B239" s="334"/>
      <c r="C239" s="217" t="s">
        <v>407</v>
      </c>
      <c r="D239" s="22" t="e">
        <f>ROUNDUP((F221/(D237*D238)),1)</f>
        <v>#VALUE!</v>
      </c>
      <c r="E239" s="144" t="s">
        <v>271</v>
      </c>
      <c r="F239" s="387"/>
      <c r="G239" s="388"/>
      <c r="H239" s="389"/>
    </row>
    <row r="240" spans="1:8" x14ac:dyDescent="0.35">
      <c r="A240" s="334" t="s">
        <v>408</v>
      </c>
      <c r="B240" s="334"/>
      <c r="C240" s="217" t="s">
        <v>407</v>
      </c>
      <c r="D240" s="22" t="e">
        <f>IF(AND(D222="Level 1 Porous Asphalt",D239&lt;0.67),0.67,IF(AND(D222="Level 2 Porous Asphalt",D239&lt;1),1,IF(AND(D222="Porous Concrete",D239&lt;0.67),0.67,IF(AND(D222="Porous Paver",D239&lt;0.67),0.67,""))))</f>
        <v>#VALUE!</v>
      </c>
      <c r="E240" s="144" t="s">
        <v>271</v>
      </c>
      <c r="F240" s="387"/>
      <c r="G240" s="388"/>
      <c r="H240" s="389"/>
    </row>
    <row r="241" spans="1:8" x14ac:dyDescent="0.35">
      <c r="A241" s="334" t="s">
        <v>409</v>
      </c>
      <c r="B241" s="334"/>
      <c r="C241" s="217" t="s">
        <v>407</v>
      </c>
      <c r="D241" s="216"/>
      <c r="E241" s="144" t="s">
        <v>271</v>
      </c>
      <c r="F241" s="387" t="str">
        <f>IF(D241="","",IF(D241&lt;MAX(D240,D239),"Does not meet design criteria",""))</f>
        <v/>
      </c>
      <c r="G241" s="388"/>
      <c r="H241" s="389"/>
    </row>
    <row r="242" spans="1:8" x14ac:dyDescent="0.35">
      <c r="A242" s="334" t="s">
        <v>410</v>
      </c>
      <c r="B242" s="334"/>
      <c r="C242" s="217" t="s">
        <v>411</v>
      </c>
      <c r="D242" s="217" t="e">
        <f>ROUNDUP(D237/D243,0)</f>
        <v>#DIV/0!</v>
      </c>
      <c r="E242" s="144" t="s">
        <v>271</v>
      </c>
      <c r="F242" s="387" t="str">
        <f>IF(D224&gt;=2,"Not required","")</f>
        <v/>
      </c>
      <c r="G242" s="388"/>
      <c r="H242" s="389"/>
    </row>
    <row r="243" spans="1:8" x14ac:dyDescent="0.35">
      <c r="A243" s="334" t="s">
        <v>412</v>
      </c>
      <c r="B243" s="334"/>
      <c r="C243" s="217" t="s">
        <v>214</v>
      </c>
      <c r="D243" s="30"/>
      <c r="E243" s="144" t="s">
        <v>271</v>
      </c>
      <c r="F243" s="387" t="str">
        <f>IF(D224&gt;=2,"Not required",IF(D243&gt;30,"Does not meet design criteria",""))</f>
        <v/>
      </c>
      <c r="G243" s="388"/>
      <c r="H243" s="389"/>
    </row>
    <row r="244" spans="1:8" x14ac:dyDescent="0.35">
      <c r="A244" s="334" t="s">
        <v>413</v>
      </c>
      <c r="B244" s="334"/>
      <c r="C244" s="217" t="s">
        <v>414</v>
      </c>
      <c r="D244" s="30"/>
      <c r="E244" s="144" t="s">
        <v>271</v>
      </c>
      <c r="F244" s="387" t="str">
        <f>IF(D224&gt;=2,"Not required","")</f>
        <v/>
      </c>
      <c r="G244" s="388"/>
      <c r="H244" s="389"/>
    </row>
    <row r="245" spans="1:8" x14ac:dyDescent="0.35">
      <c r="A245" s="334" t="s">
        <v>415</v>
      </c>
      <c r="B245" s="334"/>
      <c r="C245" s="217" t="s">
        <v>416</v>
      </c>
      <c r="D245" s="3" t="e">
        <f>ROUNDUP(D242/D244,0)</f>
        <v>#DIV/0!</v>
      </c>
      <c r="E245" s="144"/>
      <c r="F245" s="387" t="str">
        <f>IF(D224&gt;=2,"Not required","")</f>
        <v/>
      </c>
      <c r="G245" s="388"/>
      <c r="H245" s="389"/>
    </row>
    <row r="246" spans="1:8" x14ac:dyDescent="0.35">
      <c r="A246" s="334" t="s">
        <v>417</v>
      </c>
      <c r="B246" s="334"/>
      <c r="C246" s="217" t="s">
        <v>416</v>
      </c>
      <c r="D246" s="216"/>
      <c r="E246" s="144"/>
      <c r="F246" s="387" t="str">
        <f>IF(D246="","Not required",IF(D224&gt;=2,"Not required",IF(D246&lt;D245,"Does not meet design criteria","")))</f>
        <v>Not required</v>
      </c>
      <c r="G246" s="388"/>
      <c r="H246" s="389"/>
    </row>
    <row r="247" spans="1:8" ht="13" x14ac:dyDescent="0.35">
      <c r="A247" s="390" t="s">
        <v>418</v>
      </c>
      <c r="B247" s="390"/>
      <c r="C247" s="390"/>
      <c r="D247" s="390"/>
      <c r="E247" s="390"/>
      <c r="F247" s="390"/>
      <c r="G247" s="390"/>
      <c r="H247" s="390"/>
    </row>
    <row r="248" spans="1:8" ht="13" x14ac:dyDescent="0.35">
      <c r="A248" s="310" t="s">
        <v>241</v>
      </c>
      <c r="B248" s="311"/>
      <c r="C248" s="312"/>
      <c r="D248" s="9" t="str">
        <f>IF(A221="","",IF(D224&lt;0.5,0,IF(D225="Yes",0,IF(D226="No",0,IF(D227&gt;10,0,IF(D228&lt;2,0,IF(D229&lt;2,0,IF(AND(D222="Level 1 Porous Asphalt",D230&lt;3),0,IF(AND(D222="Level 2 Porous Asphalt",D230&lt;2),0,IF(AND(D222="Porous Concrete",D230&lt;4),0,IF(AND(D222="Level 2 Porous Asphalt",D231&lt;3),0,IF(AND(D222="Porous Paver",D232&lt;2),0,IF(D233&lt;1,0,IF(AND(D224&lt;2,D234&lt;10),0,IF(D241&lt;MAX(D239,D240,0),0,IF(D224&lt;2,F221*0.4,IF(D224&gt;=2,F221*1)))))))))))))))))</f>
        <v/>
      </c>
      <c r="E248" s="310" t="s">
        <v>2</v>
      </c>
      <c r="F248" s="311"/>
      <c r="G248" s="311"/>
      <c r="H248" s="312"/>
    </row>
    <row r="249" spans="1:8" ht="13" x14ac:dyDescent="0.35">
      <c r="A249" s="16" t="s">
        <v>56</v>
      </c>
      <c r="B249" s="225" t="str">
        <f>IF('STEP 2-WQv Calculation'!$B$4="","",'STEP 2-WQv Calculation'!$B$4)</f>
        <v/>
      </c>
      <c r="C249" s="199"/>
      <c r="D249" s="199"/>
      <c r="E249" s="199"/>
      <c r="F249" s="199"/>
      <c r="G249" s="199"/>
      <c r="H249" s="199"/>
    </row>
    <row r="250" spans="1:8" ht="13" x14ac:dyDescent="0.35">
      <c r="A250" s="241" t="s">
        <v>293</v>
      </c>
      <c r="B250" s="241"/>
      <c r="C250" s="241"/>
      <c r="D250" s="241"/>
      <c r="E250" s="241"/>
      <c r="F250" s="241"/>
      <c r="G250" s="241"/>
      <c r="H250" s="241"/>
    </row>
    <row r="251" spans="1:8" ht="38.5" x14ac:dyDescent="0.35">
      <c r="A251" s="204" t="s">
        <v>60</v>
      </c>
      <c r="B251" s="205" t="s">
        <v>61</v>
      </c>
      <c r="C251" s="205" t="s">
        <v>62</v>
      </c>
      <c r="D251" s="205" t="s">
        <v>63</v>
      </c>
      <c r="E251" s="205" t="s">
        <v>64</v>
      </c>
      <c r="F251" s="205" t="s">
        <v>65</v>
      </c>
      <c r="G251" s="205" t="s">
        <v>244</v>
      </c>
      <c r="H251" s="206" t="s">
        <v>13</v>
      </c>
    </row>
    <row r="252" spans="1:8" x14ac:dyDescent="0.35">
      <c r="A252" s="218"/>
      <c r="B252" s="3" t="str">
        <f>IF($A252="","",(LOOKUP($A252,'STEP 2-WQv Calculation'!$A$8:$A$37,'STEP 2-WQv Calculation'!$B$8:$B$37)))</f>
        <v/>
      </c>
      <c r="C252" s="3" t="str">
        <f>IF($A252="","",(LOOKUP($A252,'STEP 2-WQv Calculation'!$A$8:$A$37,'STEP 2-WQv Calculation'!$C$8:$C$37)))</f>
        <v/>
      </c>
      <c r="D252" s="212" t="str">
        <f>IF($A252="","",(LOOKUP($A252,'STEP 2-WQv Calculation'!$A$8:$A$37,'STEP 2-WQv Calculation'!$D$8:$D$37)))</f>
        <v/>
      </c>
      <c r="E252" s="3" t="str">
        <f>IF($A252="","",(LOOKUP($A252,'STEP 2-WQv Calculation'!$A$8:$A$37,'STEP 2-WQv Calculation'!$E$8:$E$37)))</f>
        <v/>
      </c>
      <c r="F252" s="217" t="str">
        <f>IF($A252="","",(LOOKUP($A252,'STEP 2-WQv Calculation'!$A$8:$A$37,'STEP 2-WQv Calculation'!$F$8:$F$37)))</f>
        <v/>
      </c>
      <c r="G252" s="22">
        <f>'STEP 2-WQv Calculation'!B129</f>
        <v>0</v>
      </c>
      <c r="H252" s="198" t="str">
        <f>IF($A252="","",(LOOKUP($A252,'STEP 2-WQv Calculation'!$A$8:$A$37,'STEP 2-WQv Calculation'!$G$8:$G$37)))</f>
        <v/>
      </c>
    </row>
    <row r="253" spans="1:8" x14ac:dyDescent="0.35">
      <c r="A253" s="242" t="s">
        <v>396</v>
      </c>
      <c r="B253" s="243"/>
      <c r="C253" s="244"/>
      <c r="D253" s="364" t="s">
        <v>688</v>
      </c>
      <c r="E253" s="365"/>
      <c r="F253" s="365"/>
      <c r="G253" s="365"/>
      <c r="H253" s="366"/>
    </row>
    <row r="254" spans="1:8" ht="13" x14ac:dyDescent="0.3">
      <c r="A254" s="273" t="s">
        <v>226</v>
      </c>
      <c r="B254" s="273"/>
      <c r="C254" s="273"/>
      <c r="D254" s="273"/>
      <c r="E254" s="273"/>
      <c r="F254" s="273"/>
      <c r="G254" s="273"/>
      <c r="H254" s="273"/>
    </row>
    <row r="255" spans="1:8" x14ac:dyDescent="0.35">
      <c r="A255" s="242" t="s">
        <v>397</v>
      </c>
      <c r="B255" s="243"/>
      <c r="C255" s="244"/>
      <c r="D255" s="44"/>
      <c r="E255" s="322" t="str">
        <f>IF(D255="","",IF(D255&lt;0.5,"Does not meet design criteria",IF(D255&lt;2,"Underdrains required","")))</f>
        <v/>
      </c>
      <c r="F255" s="323"/>
      <c r="G255" s="323"/>
      <c r="H255" s="324"/>
    </row>
    <row r="256" spans="1:8" x14ac:dyDescent="0.35">
      <c r="A256" s="245" t="s">
        <v>247</v>
      </c>
      <c r="B256" s="245"/>
      <c r="C256" s="245"/>
      <c r="D256" s="211"/>
      <c r="E256" s="322" t="str">
        <f>IF(D256="Yes","Does not meet design criteria","")</f>
        <v/>
      </c>
      <c r="F256" s="323"/>
      <c r="G256" s="323"/>
      <c r="H256" s="324"/>
    </row>
    <row r="257" spans="1:8" x14ac:dyDescent="0.35">
      <c r="A257" s="242" t="s">
        <v>398</v>
      </c>
      <c r="B257" s="243"/>
      <c r="C257" s="244"/>
      <c r="D257" s="211"/>
      <c r="E257" s="322" t="str">
        <f>IF(D257="No","Does not meet design criteria","")</f>
        <v/>
      </c>
      <c r="F257" s="323"/>
      <c r="G257" s="323"/>
      <c r="H257" s="324"/>
    </row>
    <row r="258" spans="1:8" x14ac:dyDescent="0.35">
      <c r="A258" s="242" t="s">
        <v>714</v>
      </c>
      <c r="B258" s="243"/>
      <c r="C258" s="244"/>
      <c r="D258" s="43"/>
      <c r="E258" s="322" t="str">
        <f>IF(D258&gt;10,"Does not meet design criteria","")</f>
        <v/>
      </c>
      <c r="F258" s="323"/>
      <c r="G258" s="323"/>
      <c r="H258" s="324"/>
    </row>
    <row r="259" spans="1:8" x14ac:dyDescent="0.35">
      <c r="A259" s="242" t="s">
        <v>713</v>
      </c>
      <c r="B259" s="243"/>
      <c r="C259" s="244"/>
      <c r="D259" s="43"/>
      <c r="E259" s="322" t="str">
        <f>IF(D259="","",IF(D259&lt;2,"Does not  meet design criteria",""))</f>
        <v/>
      </c>
      <c r="F259" s="323"/>
      <c r="G259" s="323"/>
      <c r="H259" s="324"/>
    </row>
    <row r="260" spans="1:8" x14ac:dyDescent="0.35">
      <c r="A260" s="242" t="s">
        <v>297</v>
      </c>
      <c r="B260" s="243"/>
      <c r="C260" s="244"/>
      <c r="D260" s="43"/>
      <c r="E260" s="322" t="str">
        <f>IF(D260="","",IF(D260&lt;2,"Does not meet design criteria",""))</f>
        <v/>
      </c>
      <c r="F260" s="323"/>
      <c r="G260" s="323"/>
      <c r="H260" s="324"/>
    </row>
    <row r="261" spans="1:8" x14ac:dyDescent="0.35">
      <c r="A261" s="242" t="s">
        <v>378</v>
      </c>
      <c r="B261" s="243"/>
      <c r="C261" s="244"/>
      <c r="D261" s="43"/>
      <c r="E261" s="322" t="str">
        <f>IF(D261="","",IF(AND(D253="Level 1 Porous Asphalt",D261&lt;3),"Does not meet design criteria",IF(AND(D253="Level 2 Porous Asphalt",D261&lt;2),"Does not meet design criteria",IF(AND(D253="Porous Concrete",D261&lt;4),"Does not meet design criteria",""))))</f>
        <v/>
      </c>
      <c r="F261" s="323"/>
      <c r="G261" s="323"/>
      <c r="H261" s="324"/>
    </row>
    <row r="262" spans="1:8" x14ac:dyDescent="0.35">
      <c r="A262" s="242" t="s">
        <v>399</v>
      </c>
      <c r="B262" s="243"/>
      <c r="C262" s="244"/>
      <c r="D262" s="43"/>
      <c r="E262" s="322" t="str">
        <f>IF(D253="Level 1 Porous Asphalt","Not applicable",IF(AND(D253="Level 2 Porous Asphalt",D262&lt;3),"Does not meet design criteria",IF(D253="Porous Concrete","Not applicable",IF(D253="Porous Paver","Not applicable",""))))</f>
        <v>Not applicable</v>
      </c>
      <c r="F262" s="323"/>
      <c r="G262" s="323"/>
      <c r="H262" s="324"/>
    </row>
    <row r="263" spans="1:8" x14ac:dyDescent="0.35">
      <c r="A263" s="242" t="s">
        <v>400</v>
      </c>
      <c r="B263" s="243"/>
      <c r="C263" s="244"/>
      <c r="D263" s="43"/>
      <c r="E263" s="322" t="str">
        <f>IF(D253="Level 1 Porous Asphalt","Not applicable",IF((D253="Level 2 Porous Asphalt"),"Not Applicable",IF(D253="Porous Concrete","Not applicable",IF(D253="Porous Paver",IF(D263&lt;2,"Does not meet design criteria",""),""))))</f>
        <v>Does not meet design criteria</v>
      </c>
      <c r="F263" s="323"/>
      <c r="G263" s="323"/>
      <c r="H263" s="324"/>
    </row>
    <row r="264" spans="1:8" x14ac:dyDescent="0.35">
      <c r="A264" s="242" t="s">
        <v>401</v>
      </c>
      <c r="B264" s="243"/>
      <c r="C264" s="244"/>
      <c r="D264" s="43"/>
      <c r="E264" s="322" t="str">
        <f>IF(D264="","",IF(D264&lt;1,"Does not meet design criteria",""))</f>
        <v/>
      </c>
      <c r="F264" s="323"/>
      <c r="G264" s="323"/>
      <c r="H264" s="324"/>
    </row>
    <row r="265" spans="1:8" x14ac:dyDescent="0.35">
      <c r="A265" s="242" t="s">
        <v>402</v>
      </c>
      <c r="B265" s="243"/>
      <c r="C265" s="244"/>
      <c r="D265" s="43"/>
      <c r="E265" s="322" t="str">
        <f>IF(D255="","",IF(AND(D255&lt;2,D265=""),"Required when underdrains are provided",IF(AND(D255&lt;2,D265&lt;10),"Does not meet design criteria","")))</f>
        <v/>
      </c>
      <c r="F265" s="323"/>
      <c r="G265" s="323"/>
      <c r="H265" s="324"/>
    </row>
    <row r="266" spans="1:8" ht="13" x14ac:dyDescent="0.35">
      <c r="A266" s="241" t="s">
        <v>232</v>
      </c>
      <c r="B266" s="241"/>
      <c r="C266" s="241"/>
      <c r="D266" s="241"/>
      <c r="E266" s="241"/>
      <c r="F266" s="241"/>
      <c r="G266" s="241"/>
      <c r="H266" s="241"/>
    </row>
    <row r="267" spans="1:8" x14ac:dyDescent="0.35">
      <c r="A267" s="378"/>
      <c r="B267" s="379"/>
      <c r="C267" s="380"/>
      <c r="D267" s="222" t="s">
        <v>256</v>
      </c>
      <c r="E267" s="208" t="s">
        <v>257</v>
      </c>
      <c r="F267" s="375" t="s">
        <v>258</v>
      </c>
      <c r="G267" s="376"/>
      <c r="H267" s="377"/>
    </row>
    <row r="268" spans="1:8" x14ac:dyDescent="0.35">
      <c r="A268" s="289" t="s">
        <v>403</v>
      </c>
      <c r="B268" s="289"/>
      <c r="C268" s="198" t="s">
        <v>404</v>
      </c>
      <c r="D268" s="216"/>
      <c r="E268" s="193" t="s">
        <v>316</v>
      </c>
      <c r="F268" s="322"/>
      <c r="G268" s="323"/>
      <c r="H268" s="324"/>
    </row>
    <row r="269" spans="1:8" x14ac:dyDescent="0.35">
      <c r="A269" s="334" t="s">
        <v>405</v>
      </c>
      <c r="B269" s="334"/>
      <c r="C269" s="217" t="s">
        <v>268</v>
      </c>
      <c r="D269" s="22">
        <v>0.4</v>
      </c>
      <c r="E269" s="144"/>
      <c r="F269" s="387"/>
      <c r="G269" s="388"/>
      <c r="H269" s="389"/>
    </row>
    <row r="270" spans="1:8" x14ac:dyDescent="0.35">
      <c r="A270" s="334" t="s">
        <v>406</v>
      </c>
      <c r="B270" s="334"/>
      <c r="C270" s="217" t="s">
        <v>407</v>
      </c>
      <c r="D270" s="22" t="e">
        <f>ROUNDUP((F252/(D268*D269)),1)</f>
        <v>#VALUE!</v>
      </c>
      <c r="E270" s="144" t="s">
        <v>271</v>
      </c>
      <c r="F270" s="387"/>
      <c r="G270" s="388"/>
      <c r="H270" s="389"/>
    </row>
    <row r="271" spans="1:8" x14ac:dyDescent="0.35">
      <c r="A271" s="334" t="s">
        <v>408</v>
      </c>
      <c r="B271" s="334"/>
      <c r="C271" s="217" t="s">
        <v>407</v>
      </c>
      <c r="D271" s="22" t="e">
        <f>IF(AND(D253="Level 1 Porous Asphalt",D270&lt;0.67),0.67,IF(AND(D253="Level 2 Porous Asphalt",D270&lt;1),1,IF(AND(D253="Porous Concrete",D270&lt;0.67),0.67,IF(AND(D253="Porous Paver",D270&lt;0.67),0.67,""))))</f>
        <v>#VALUE!</v>
      </c>
      <c r="E271" s="144" t="s">
        <v>271</v>
      </c>
      <c r="F271" s="387"/>
      <c r="G271" s="388"/>
      <c r="H271" s="389"/>
    </row>
    <row r="272" spans="1:8" x14ac:dyDescent="0.35">
      <c r="A272" s="334" t="s">
        <v>409</v>
      </c>
      <c r="B272" s="334"/>
      <c r="C272" s="217" t="s">
        <v>407</v>
      </c>
      <c r="D272" s="216"/>
      <c r="E272" s="144" t="s">
        <v>271</v>
      </c>
      <c r="F272" s="387" t="str">
        <f>IF(D272="","",IF(D272&lt;MAX(D271,D270),"Does not meet design criteria",""))</f>
        <v/>
      </c>
      <c r="G272" s="388"/>
      <c r="H272" s="389"/>
    </row>
    <row r="273" spans="1:8" x14ac:dyDescent="0.35">
      <c r="A273" s="334" t="s">
        <v>410</v>
      </c>
      <c r="B273" s="334"/>
      <c r="C273" s="217" t="s">
        <v>411</v>
      </c>
      <c r="D273" s="217" t="e">
        <f>ROUNDUP(D268/D274,0)</f>
        <v>#DIV/0!</v>
      </c>
      <c r="E273" s="144" t="s">
        <v>271</v>
      </c>
      <c r="F273" s="387" t="str">
        <f>IF(D255&gt;=2,"Not required","")</f>
        <v/>
      </c>
      <c r="G273" s="388"/>
      <c r="H273" s="389"/>
    </row>
    <row r="274" spans="1:8" x14ac:dyDescent="0.35">
      <c r="A274" s="334" t="s">
        <v>412</v>
      </c>
      <c r="B274" s="334"/>
      <c r="C274" s="217" t="s">
        <v>214</v>
      </c>
      <c r="D274" s="30"/>
      <c r="E274" s="144" t="s">
        <v>271</v>
      </c>
      <c r="F274" s="387" t="str">
        <f>IF(D255&gt;=2,"Not required",IF(D274&gt;30,"Does not meet design criteria",""))</f>
        <v/>
      </c>
      <c r="G274" s="388"/>
      <c r="H274" s="389"/>
    </row>
    <row r="275" spans="1:8" x14ac:dyDescent="0.35">
      <c r="A275" s="334" t="s">
        <v>413</v>
      </c>
      <c r="B275" s="334"/>
      <c r="C275" s="217" t="s">
        <v>414</v>
      </c>
      <c r="D275" s="30"/>
      <c r="E275" s="144" t="s">
        <v>271</v>
      </c>
      <c r="F275" s="387" t="str">
        <f>IF(D255&gt;=2,"Not required","")</f>
        <v/>
      </c>
      <c r="G275" s="388"/>
      <c r="H275" s="389"/>
    </row>
    <row r="276" spans="1:8" x14ac:dyDescent="0.35">
      <c r="A276" s="334" t="s">
        <v>415</v>
      </c>
      <c r="B276" s="334"/>
      <c r="C276" s="217" t="s">
        <v>416</v>
      </c>
      <c r="D276" s="3" t="e">
        <f>ROUNDUP(D273/D275,0)</f>
        <v>#DIV/0!</v>
      </c>
      <c r="E276" s="144"/>
      <c r="F276" s="387" t="str">
        <f>IF(D255&gt;=2,"Not required","")</f>
        <v/>
      </c>
      <c r="G276" s="388"/>
      <c r="H276" s="389"/>
    </row>
    <row r="277" spans="1:8" x14ac:dyDescent="0.35">
      <c r="A277" s="334" t="s">
        <v>417</v>
      </c>
      <c r="B277" s="334"/>
      <c r="C277" s="217" t="s">
        <v>416</v>
      </c>
      <c r="D277" s="216"/>
      <c r="E277" s="144"/>
      <c r="F277" s="387" t="str">
        <f>IF(D277="","Not required",IF(D255&gt;=2,"Not required",IF(D277&lt;D276,"Does not meet design criteria","")))</f>
        <v>Not required</v>
      </c>
      <c r="G277" s="388"/>
      <c r="H277" s="389"/>
    </row>
    <row r="278" spans="1:8" ht="13" x14ac:dyDescent="0.35">
      <c r="A278" s="390" t="s">
        <v>418</v>
      </c>
      <c r="B278" s="390"/>
      <c r="C278" s="390"/>
      <c r="D278" s="390"/>
      <c r="E278" s="390"/>
      <c r="F278" s="390"/>
      <c r="G278" s="390"/>
      <c r="H278" s="390"/>
    </row>
    <row r="279" spans="1:8" ht="13" x14ac:dyDescent="0.35">
      <c r="A279" s="310" t="s">
        <v>241</v>
      </c>
      <c r="B279" s="311"/>
      <c r="C279" s="312"/>
      <c r="D279" s="9" t="str">
        <f>IF(A252="","",IF(D255&lt;0.5,0,IF(D256="Yes",0,IF(D257="No",0,IF(D258&gt;10,0,IF(D259&lt;2,0,IF(D260&lt;2,0,IF(AND(D253="Level 1 Porous Asphalt",D261&lt;3),0,IF(AND(D253="Level 2 Porous Asphalt",D261&lt;2),0,IF(AND(D253="Porous Concrete",D261&lt;4),0,IF(AND(D253="Level 2 Porous Asphalt",D262&lt;3),0,IF(AND(D253="Porous Paver",D263&lt;2),0,IF(D264&lt;1,0,IF(AND(D255&lt;2,D265&lt;10),0,IF(D272&lt;MAX(D270,D271,0),0,IF(D255&lt;2,F252*0.4,IF(D255&gt;=2,F252*1)))))))))))))))))</f>
        <v/>
      </c>
      <c r="E279" s="310" t="s">
        <v>2</v>
      </c>
      <c r="F279" s="311"/>
      <c r="G279" s="311"/>
      <c r="H279" s="312"/>
    </row>
    <row r="280" spans="1:8" ht="13" x14ac:dyDescent="0.35">
      <c r="A280" s="16" t="s">
        <v>56</v>
      </c>
      <c r="B280" s="225" t="str">
        <f>IF('STEP 2-WQv Calculation'!$B$4="","",'STEP 2-WQv Calculation'!$B$4)</f>
        <v/>
      </c>
      <c r="C280" s="199"/>
      <c r="D280" s="199"/>
      <c r="E280" s="199"/>
      <c r="F280" s="199"/>
      <c r="G280" s="199"/>
      <c r="H280" s="199"/>
    </row>
    <row r="281" spans="1:8" ht="13" x14ac:dyDescent="0.35">
      <c r="A281" s="241" t="s">
        <v>293</v>
      </c>
      <c r="B281" s="241"/>
      <c r="C281" s="241"/>
      <c r="D281" s="241"/>
      <c r="E281" s="241"/>
      <c r="F281" s="241"/>
      <c r="G281" s="241"/>
      <c r="H281" s="241"/>
    </row>
    <row r="282" spans="1:8" ht="38.5" x14ac:dyDescent="0.35">
      <c r="A282" s="204" t="s">
        <v>60</v>
      </c>
      <c r="B282" s="205" t="s">
        <v>61</v>
      </c>
      <c r="C282" s="205" t="s">
        <v>62</v>
      </c>
      <c r="D282" s="205" t="s">
        <v>63</v>
      </c>
      <c r="E282" s="205" t="s">
        <v>64</v>
      </c>
      <c r="F282" s="205" t="s">
        <v>65</v>
      </c>
      <c r="G282" s="205" t="s">
        <v>244</v>
      </c>
      <c r="H282" s="206" t="s">
        <v>13</v>
      </c>
    </row>
    <row r="283" spans="1:8" x14ac:dyDescent="0.35">
      <c r="A283" s="218"/>
      <c r="B283" s="3" t="str">
        <f>IF($A283="","",(LOOKUP($A283,'STEP 2-WQv Calculation'!$A$8:$A$37,'STEP 2-WQv Calculation'!$B$8:$B$37)))</f>
        <v/>
      </c>
      <c r="C283" s="3" t="str">
        <f>IF($A283="","",(LOOKUP($A283,'STEP 2-WQv Calculation'!$A$8:$A$37,'STEP 2-WQv Calculation'!$C$8:$C$37)))</f>
        <v/>
      </c>
      <c r="D283" s="212" t="str">
        <f>IF($A283="","",(LOOKUP($A283,'STEP 2-WQv Calculation'!$A$8:$A$37,'STEP 2-WQv Calculation'!$D$8:$D$37)))</f>
        <v/>
      </c>
      <c r="E283" s="3" t="str">
        <f>IF($A283="","",(LOOKUP($A283,'STEP 2-WQv Calculation'!$A$8:$A$37,'STEP 2-WQv Calculation'!$E$8:$E$37)))</f>
        <v/>
      </c>
      <c r="F283" s="217" t="str">
        <f>IF($A283="","",(LOOKUP($A283,'STEP 2-WQv Calculation'!$A$8:$A$37,'STEP 2-WQv Calculation'!$F$8:$F$37)))</f>
        <v/>
      </c>
      <c r="G283" s="22">
        <f>'STEP 2-WQv Calculation'!B160</f>
        <v>0</v>
      </c>
      <c r="H283" s="198" t="str">
        <f>IF($A283="","",(LOOKUP($A283,'STEP 2-WQv Calculation'!$A$8:$A$37,'STEP 2-WQv Calculation'!$G$8:$G$37)))</f>
        <v/>
      </c>
    </row>
    <row r="284" spans="1:8" x14ac:dyDescent="0.35">
      <c r="A284" s="242" t="s">
        <v>396</v>
      </c>
      <c r="B284" s="243"/>
      <c r="C284" s="244"/>
      <c r="D284" s="364" t="s">
        <v>688</v>
      </c>
      <c r="E284" s="365"/>
      <c r="F284" s="365"/>
      <c r="G284" s="365"/>
      <c r="H284" s="366"/>
    </row>
    <row r="285" spans="1:8" ht="13" x14ac:dyDescent="0.3">
      <c r="A285" s="273" t="s">
        <v>226</v>
      </c>
      <c r="B285" s="273"/>
      <c r="C285" s="273"/>
      <c r="D285" s="273"/>
      <c r="E285" s="273"/>
      <c r="F285" s="273"/>
      <c r="G285" s="273"/>
      <c r="H285" s="273"/>
    </row>
    <row r="286" spans="1:8" x14ac:dyDescent="0.35">
      <c r="A286" s="242" t="s">
        <v>397</v>
      </c>
      <c r="B286" s="243"/>
      <c r="C286" s="244"/>
      <c r="D286" s="44"/>
      <c r="E286" s="322" t="str">
        <f>IF(D286="","",IF(D286&lt;0.5,"Does not meet design criteria",IF(D286&lt;2,"Underdrains required","")))</f>
        <v/>
      </c>
      <c r="F286" s="323"/>
      <c r="G286" s="323"/>
      <c r="H286" s="324"/>
    </row>
    <row r="287" spans="1:8" x14ac:dyDescent="0.35">
      <c r="A287" s="245" t="s">
        <v>247</v>
      </c>
      <c r="B287" s="245"/>
      <c r="C287" s="245"/>
      <c r="D287" s="211"/>
      <c r="E287" s="322" t="str">
        <f>IF(D287="Yes","Does not meet design criteria","")</f>
        <v/>
      </c>
      <c r="F287" s="323"/>
      <c r="G287" s="323"/>
      <c r="H287" s="324"/>
    </row>
    <row r="288" spans="1:8" x14ac:dyDescent="0.35">
      <c r="A288" s="242" t="s">
        <v>398</v>
      </c>
      <c r="B288" s="243"/>
      <c r="C288" s="244"/>
      <c r="D288" s="211"/>
      <c r="E288" s="322" t="str">
        <f>IF(D288="No","Does not meet design criteria","")</f>
        <v/>
      </c>
      <c r="F288" s="323"/>
      <c r="G288" s="323"/>
      <c r="H288" s="324"/>
    </row>
    <row r="289" spans="1:8" x14ac:dyDescent="0.35">
      <c r="A289" s="242" t="s">
        <v>714</v>
      </c>
      <c r="B289" s="243"/>
      <c r="C289" s="244"/>
      <c r="D289" s="43"/>
      <c r="E289" s="322" t="str">
        <f>IF(D289&gt;10,"Does not meet design criteria","")</f>
        <v/>
      </c>
      <c r="F289" s="323"/>
      <c r="G289" s="323"/>
      <c r="H289" s="324"/>
    </row>
    <row r="290" spans="1:8" x14ac:dyDescent="0.35">
      <c r="A290" s="242" t="s">
        <v>713</v>
      </c>
      <c r="B290" s="243"/>
      <c r="C290" s="244"/>
      <c r="D290" s="43"/>
      <c r="E290" s="322" t="str">
        <f>IF(D290="","",IF(D290&lt;2,"Does not  meet design criteria",""))</f>
        <v/>
      </c>
      <c r="F290" s="323"/>
      <c r="G290" s="323"/>
      <c r="H290" s="324"/>
    </row>
    <row r="291" spans="1:8" x14ac:dyDescent="0.35">
      <c r="A291" s="242" t="s">
        <v>297</v>
      </c>
      <c r="B291" s="243"/>
      <c r="C291" s="244"/>
      <c r="D291" s="43"/>
      <c r="E291" s="322" t="str">
        <f>IF(D291="","",IF(D291&lt;2,"Does not meet design criteria",""))</f>
        <v/>
      </c>
      <c r="F291" s="323"/>
      <c r="G291" s="323"/>
      <c r="H291" s="324"/>
    </row>
    <row r="292" spans="1:8" x14ac:dyDescent="0.35">
      <c r="A292" s="242" t="s">
        <v>378</v>
      </c>
      <c r="B292" s="243"/>
      <c r="C292" s="244"/>
      <c r="D292" s="43"/>
      <c r="E292" s="322" t="str">
        <f>IF(D292="","",IF(AND(D284="Level 1 Porous Asphalt",D292&lt;3),"Does not meet design criteria",IF(AND(D284="Level 2 Porous Asphalt",D292&lt;2),"Does not meet design criteria",IF(AND(D284="Porous Concrete",D292&lt;4),"Does not meet design criteria",""))))</f>
        <v/>
      </c>
      <c r="F292" s="323"/>
      <c r="G292" s="323"/>
      <c r="H292" s="324"/>
    </row>
    <row r="293" spans="1:8" x14ac:dyDescent="0.35">
      <c r="A293" s="242" t="s">
        <v>399</v>
      </c>
      <c r="B293" s="243"/>
      <c r="C293" s="244"/>
      <c r="D293" s="43"/>
      <c r="E293" s="322" t="str">
        <f>IF(D284="Level 1 Porous Asphalt","Not applicable",IF(AND(D284="Level 2 Porous Asphalt",D293&lt;3),"Does not meet design criteria",IF(D284="Porous Concrete","Not applicable",IF(D284="Porous Paver","Not applicable",""))))</f>
        <v>Not applicable</v>
      </c>
      <c r="F293" s="323"/>
      <c r="G293" s="323"/>
      <c r="H293" s="324"/>
    </row>
    <row r="294" spans="1:8" x14ac:dyDescent="0.35">
      <c r="A294" s="242" t="s">
        <v>400</v>
      </c>
      <c r="B294" s="243"/>
      <c r="C294" s="244"/>
      <c r="D294" s="43"/>
      <c r="E294" s="322" t="str">
        <f>IF(D284="Level 1 Porous Asphalt","Not applicable",IF((D284="Level 2 Porous Asphalt"),"Not Applicable",IF(D284="Porous Concrete","Not applicable",IF(D284="Porous Paver",IF(D294&lt;2,"Does not meet design criteria",""),""))))</f>
        <v>Does not meet design criteria</v>
      </c>
      <c r="F294" s="323"/>
      <c r="G294" s="323"/>
      <c r="H294" s="324"/>
    </row>
    <row r="295" spans="1:8" x14ac:dyDescent="0.35">
      <c r="A295" s="242" t="s">
        <v>401</v>
      </c>
      <c r="B295" s="243"/>
      <c r="C295" s="244"/>
      <c r="D295" s="43"/>
      <c r="E295" s="322" t="str">
        <f>IF(D295="","",IF(D295&lt;1,"Does not meet design criteria",""))</f>
        <v/>
      </c>
      <c r="F295" s="323"/>
      <c r="G295" s="323"/>
      <c r="H295" s="324"/>
    </row>
    <row r="296" spans="1:8" x14ac:dyDescent="0.35">
      <c r="A296" s="242" t="s">
        <v>402</v>
      </c>
      <c r="B296" s="243"/>
      <c r="C296" s="244"/>
      <c r="D296" s="43"/>
      <c r="E296" s="322" t="str">
        <f>IF(D286="","",IF(AND(D286&lt;2,D296=""),"Required when underdrains are provided",IF(AND(D286&lt;2,D296&lt;10),"Does not meet design criteria","")))</f>
        <v/>
      </c>
      <c r="F296" s="323"/>
      <c r="G296" s="323"/>
      <c r="H296" s="324"/>
    </row>
    <row r="297" spans="1:8" ht="13" x14ac:dyDescent="0.35">
      <c r="A297" s="241" t="s">
        <v>232</v>
      </c>
      <c r="B297" s="241"/>
      <c r="C297" s="241"/>
      <c r="D297" s="241"/>
      <c r="E297" s="241"/>
      <c r="F297" s="241"/>
      <c r="G297" s="241"/>
      <c r="H297" s="241"/>
    </row>
    <row r="298" spans="1:8" x14ac:dyDescent="0.35">
      <c r="A298" s="378"/>
      <c r="B298" s="379"/>
      <c r="C298" s="380"/>
      <c r="D298" s="222" t="s">
        <v>256</v>
      </c>
      <c r="E298" s="208" t="s">
        <v>257</v>
      </c>
      <c r="F298" s="375" t="s">
        <v>258</v>
      </c>
      <c r="G298" s="376"/>
      <c r="H298" s="377"/>
    </row>
    <row r="299" spans="1:8" x14ac:dyDescent="0.35">
      <c r="A299" s="289" t="s">
        <v>403</v>
      </c>
      <c r="B299" s="289"/>
      <c r="C299" s="198" t="s">
        <v>404</v>
      </c>
      <c r="D299" s="216"/>
      <c r="E299" s="193" t="s">
        <v>316</v>
      </c>
      <c r="F299" s="322"/>
      <c r="G299" s="323"/>
      <c r="H299" s="324"/>
    </row>
    <row r="300" spans="1:8" x14ac:dyDescent="0.35">
      <c r="A300" s="334" t="s">
        <v>405</v>
      </c>
      <c r="B300" s="334"/>
      <c r="C300" s="217" t="s">
        <v>268</v>
      </c>
      <c r="D300" s="22">
        <v>0.4</v>
      </c>
      <c r="E300" s="144"/>
      <c r="F300" s="387"/>
      <c r="G300" s="388"/>
      <c r="H300" s="389"/>
    </row>
    <row r="301" spans="1:8" x14ac:dyDescent="0.35">
      <c r="A301" s="334" t="s">
        <v>406</v>
      </c>
      <c r="B301" s="334"/>
      <c r="C301" s="217" t="s">
        <v>407</v>
      </c>
      <c r="D301" s="22" t="e">
        <f>ROUNDUP((F283/(D299*D300)),1)</f>
        <v>#VALUE!</v>
      </c>
      <c r="E301" s="144" t="s">
        <v>271</v>
      </c>
      <c r="F301" s="387"/>
      <c r="G301" s="388"/>
      <c r="H301" s="389"/>
    </row>
    <row r="302" spans="1:8" x14ac:dyDescent="0.35">
      <c r="A302" s="334" t="s">
        <v>408</v>
      </c>
      <c r="B302" s="334"/>
      <c r="C302" s="217" t="s">
        <v>407</v>
      </c>
      <c r="D302" s="22" t="e">
        <f>IF(AND(D284="Level 1 Porous Asphalt",D301&lt;0.67),0.67,IF(AND(D284="Level 2 Porous Asphalt",D301&lt;1),1,IF(AND(D284="Porous Concrete",D301&lt;0.67),0.67,IF(AND(D284="Porous Paver",D301&lt;0.67),0.67,""))))</f>
        <v>#VALUE!</v>
      </c>
      <c r="E302" s="144" t="s">
        <v>271</v>
      </c>
      <c r="F302" s="387"/>
      <c r="G302" s="388"/>
      <c r="H302" s="389"/>
    </row>
    <row r="303" spans="1:8" x14ac:dyDescent="0.35">
      <c r="A303" s="334" t="s">
        <v>409</v>
      </c>
      <c r="B303" s="334"/>
      <c r="C303" s="217" t="s">
        <v>407</v>
      </c>
      <c r="D303" s="216"/>
      <c r="E303" s="144" t="s">
        <v>271</v>
      </c>
      <c r="F303" s="387" t="str">
        <f>IF(D303="","",IF(D303&lt;MAX(D302,D301),"Does not meet design criteria",""))</f>
        <v/>
      </c>
      <c r="G303" s="388"/>
      <c r="H303" s="389"/>
    </row>
    <row r="304" spans="1:8" x14ac:dyDescent="0.35">
      <c r="A304" s="334" t="s">
        <v>410</v>
      </c>
      <c r="B304" s="334"/>
      <c r="C304" s="217" t="s">
        <v>411</v>
      </c>
      <c r="D304" s="217" t="e">
        <f>ROUNDUP(D299/D305,0)</f>
        <v>#DIV/0!</v>
      </c>
      <c r="E304" s="144" t="s">
        <v>271</v>
      </c>
      <c r="F304" s="387" t="str">
        <f>IF(D286&gt;=2,"Not required","")</f>
        <v/>
      </c>
      <c r="G304" s="388"/>
      <c r="H304" s="389"/>
    </row>
    <row r="305" spans="1:8" x14ac:dyDescent="0.35">
      <c r="A305" s="334" t="s">
        <v>412</v>
      </c>
      <c r="B305" s="334"/>
      <c r="C305" s="217" t="s">
        <v>214</v>
      </c>
      <c r="D305" s="30"/>
      <c r="E305" s="144" t="s">
        <v>271</v>
      </c>
      <c r="F305" s="387" t="str">
        <f>IF(D286&gt;=2,"Not required",IF(D305&gt;30,"Does not meet design criteria",""))</f>
        <v/>
      </c>
      <c r="G305" s="388"/>
      <c r="H305" s="389"/>
    </row>
    <row r="306" spans="1:8" x14ac:dyDescent="0.35">
      <c r="A306" s="334" t="s">
        <v>413</v>
      </c>
      <c r="B306" s="334"/>
      <c r="C306" s="217" t="s">
        <v>414</v>
      </c>
      <c r="D306" s="30"/>
      <c r="E306" s="144" t="s">
        <v>271</v>
      </c>
      <c r="F306" s="387" t="str">
        <f>IF(D286&gt;=2,"Not required","")</f>
        <v/>
      </c>
      <c r="G306" s="388"/>
      <c r="H306" s="389"/>
    </row>
    <row r="307" spans="1:8" x14ac:dyDescent="0.35">
      <c r="A307" s="334" t="s">
        <v>415</v>
      </c>
      <c r="B307" s="334"/>
      <c r="C307" s="217" t="s">
        <v>416</v>
      </c>
      <c r="D307" s="3" t="e">
        <f>ROUNDUP(D304/D306,0)</f>
        <v>#DIV/0!</v>
      </c>
      <c r="E307" s="144"/>
      <c r="F307" s="387" t="str">
        <f>IF(D286&gt;=2,"Not required","")</f>
        <v/>
      </c>
      <c r="G307" s="388"/>
      <c r="H307" s="389"/>
    </row>
    <row r="308" spans="1:8" x14ac:dyDescent="0.35">
      <c r="A308" s="334" t="s">
        <v>417</v>
      </c>
      <c r="B308" s="334"/>
      <c r="C308" s="217" t="s">
        <v>416</v>
      </c>
      <c r="D308" s="216"/>
      <c r="E308" s="144"/>
      <c r="F308" s="387" t="str">
        <f>IF(D308="","Not required",IF(D286&gt;=2,"Not required",IF(D308&lt;D307,"Does not meet design criteria","")))</f>
        <v>Not required</v>
      </c>
      <c r="G308" s="388"/>
      <c r="H308" s="389"/>
    </row>
    <row r="309" spans="1:8" ht="13" x14ac:dyDescent="0.35">
      <c r="A309" s="390" t="s">
        <v>418</v>
      </c>
      <c r="B309" s="390"/>
      <c r="C309" s="390"/>
      <c r="D309" s="390"/>
      <c r="E309" s="390"/>
      <c r="F309" s="390"/>
      <c r="G309" s="390"/>
      <c r="H309" s="390"/>
    </row>
    <row r="310" spans="1:8" ht="13" x14ac:dyDescent="0.35">
      <c r="A310" s="310" t="s">
        <v>241</v>
      </c>
      <c r="B310" s="311"/>
      <c r="C310" s="312"/>
      <c r="D310" s="9" t="str">
        <f>IF(A283="","",IF(D286&lt;0.5,0,IF(D287="Yes",0,IF(D288="No",0,IF(D289&gt;10,0,IF(D290&lt;2,0,IF(D291&lt;2,0,IF(AND(D284="Level 1 Porous Asphalt",D292&lt;3),0,IF(AND(D284="Level 2 Porous Asphalt",D292&lt;2),0,IF(AND(D284="Porous Concrete",D292&lt;4),0,IF(AND(D284="Level 2 Porous Asphalt",D293&lt;3),0,IF(AND(D284="Porous Paver",D294&lt;2),0,IF(D295&lt;1,0,IF(AND(D286&lt;2,D296&lt;10),0,IF(D303&lt;MAX(D301,D302,0),0,IF(D286&lt;2,F283*0.4,IF(D286&gt;=2,F283*1)))))))))))))))))</f>
        <v/>
      </c>
      <c r="E310" s="310" t="s">
        <v>2</v>
      </c>
      <c r="F310" s="311"/>
      <c r="G310" s="311"/>
      <c r="H310" s="312"/>
    </row>
    <row r="311" spans="1:8" x14ac:dyDescent="0.35"/>
    <row r="312" spans="1:8" x14ac:dyDescent="0.35"/>
    <row r="313" spans="1:8" x14ac:dyDescent="0.35"/>
    <row r="314" spans="1:8" x14ac:dyDescent="0.35"/>
    <row r="315" spans="1:8" x14ac:dyDescent="0.35"/>
    <row r="316" spans="1:8" x14ac:dyDescent="0.35"/>
    <row r="317" spans="1:8" x14ac:dyDescent="0.35"/>
    <row r="318" spans="1:8" x14ac:dyDescent="0.35"/>
    <row r="319" spans="1:8" x14ac:dyDescent="0.35"/>
    <row r="320" spans="1:8"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sheetData>
  <sheetProtection algorithmName="SHA-512" hashValue="msBRP5nyxGT/kH9ozLKOTrI3mwXDzJuBDdIkqsvKgazYgkLuk8eKYNFYy16TbpiNl/JPDCiEX7KhSug++3y9EQ==" saltValue="if/sLScq7DGYsF8D8Jd4Xg==" spinCount="100000" sheet="1" formatColumns="0" formatRows="0"/>
  <mergeCells count="523">
    <mergeCell ref="A306:B306"/>
    <mergeCell ref="F306:H306"/>
    <mergeCell ref="A307:B307"/>
    <mergeCell ref="F307:H307"/>
    <mergeCell ref="A308:B308"/>
    <mergeCell ref="F308:H308"/>
    <mergeCell ref="A309:H309"/>
    <mergeCell ref="A310:C310"/>
    <mergeCell ref="E310:H310"/>
    <mergeCell ref="A301:B301"/>
    <mergeCell ref="F301:H301"/>
    <mergeCell ref="A302:B302"/>
    <mergeCell ref="F302:H302"/>
    <mergeCell ref="A303:B303"/>
    <mergeCell ref="F303:H303"/>
    <mergeCell ref="A304:B304"/>
    <mergeCell ref="F304:H304"/>
    <mergeCell ref="A305:B305"/>
    <mergeCell ref="F305:H305"/>
    <mergeCell ref="A296:C296"/>
    <mergeCell ref="E296:H296"/>
    <mergeCell ref="A297:H297"/>
    <mergeCell ref="A298:C298"/>
    <mergeCell ref="F298:H298"/>
    <mergeCell ref="A299:B299"/>
    <mergeCell ref="F299:H299"/>
    <mergeCell ref="A300:B300"/>
    <mergeCell ref="F300:H300"/>
    <mergeCell ref="A291:C291"/>
    <mergeCell ref="E291:H291"/>
    <mergeCell ref="A292:C292"/>
    <mergeCell ref="E292:H292"/>
    <mergeCell ref="A293:C293"/>
    <mergeCell ref="E293:H293"/>
    <mergeCell ref="A294:C294"/>
    <mergeCell ref="E294:H294"/>
    <mergeCell ref="A295:C295"/>
    <mergeCell ref="E295:H295"/>
    <mergeCell ref="A286:C286"/>
    <mergeCell ref="E286:H286"/>
    <mergeCell ref="A287:C287"/>
    <mergeCell ref="E287:H287"/>
    <mergeCell ref="A288:C288"/>
    <mergeCell ref="E288:H288"/>
    <mergeCell ref="A289:C289"/>
    <mergeCell ref="E289:H289"/>
    <mergeCell ref="A290:C290"/>
    <mergeCell ref="E290:H290"/>
    <mergeCell ref="A277:B277"/>
    <mergeCell ref="F277:H277"/>
    <mergeCell ref="A278:H278"/>
    <mergeCell ref="A279:C279"/>
    <mergeCell ref="E279:H279"/>
    <mergeCell ref="A281:H281"/>
    <mergeCell ref="A284:C284"/>
    <mergeCell ref="D284:H284"/>
    <mergeCell ref="A285:H285"/>
    <mergeCell ref="A272:B272"/>
    <mergeCell ref="F272:H272"/>
    <mergeCell ref="A273:B273"/>
    <mergeCell ref="F273:H273"/>
    <mergeCell ref="A274:B274"/>
    <mergeCell ref="F274:H274"/>
    <mergeCell ref="A275:B275"/>
    <mergeCell ref="F275:H275"/>
    <mergeCell ref="A276:B276"/>
    <mergeCell ref="F276:H276"/>
    <mergeCell ref="A267:C267"/>
    <mergeCell ref="F267:H267"/>
    <mergeCell ref="A268:B268"/>
    <mergeCell ref="F268:H268"/>
    <mergeCell ref="A269:B269"/>
    <mergeCell ref="F269:H269"/>
    <mergeCell ref="A270:B270"/>
    <mergeCell ref="F270:H270"/>
    <mergeCell ref="A271:B271"/>
    <mergeCell ref="F271:H271"/>
    <mergeCell ref="A262:C262"/>
    <mergeCell ref="E262:H262"/>
    <mergeCell ref="A263:C263"/>
    <mergeCell ref="E263:H263"/>
    <mergeCell ref="A264:C264"/>
    <mergeCell ref="E264:H264"/>
    <mergeCell ref="A265:C265"/>
    <mergeCell ref="E265:H265"/>
    <mergeCell ref="A266:H266"/>
    <mergeCell ref="A257:C257"/>
    <mergeCell ref="E257:H257"/>
    <mergeCell ref="A258:C258"/>
    <mergeCell ref="E258:H258"/>
    <mergeCell ref="A259:C259"/>
    <mergeCell ref="E259:H259"/>
    <mergeCell ref="A260:C260"/>
    <mergeCell ref="E260:H260"/>
    <mergeCell ref="A261:C261"/>
    <mergeCell ref="E261:H261"/>
    <mergeCell ref="A248:C248"/>
    <mergeCell ref="E248:H248"/>
    <mergeCell ref="A250:H250"/>
    <mergeCell ref="A253:C253"/>
    <mergeCell ref="D253:H253"/>
    <mergeCell ref="A254:H254"/>
    <mergeCell ref="A255:C255"/>
    <mergeCell ref="E255:H255"/>
    <mergeCell ref="A256:C256"/>
    <mergeCell ref="E256:H256"/>
    <mergeCell ref="A243:B243"/>
    <mergeCell ref="F243:H243"/>
    <mergeCell ref="A244:B244"/>
    <mergeCell ref="F244:H244"/>
    <mergeCell ref="A245:B245"/>
    <mergeCell ref="F245:H245"/>
    <mergeCell ref="A246:B246"/>
    <mergeCell ref="F246:H246"/>
    <mergeCell ref="A247:H247"/>
    <mergeCell ref="A238:B238"/>
    <mergeCell ref="F238:H238"/>
    <mergeCell ref="A239:B239"/>
    <mergeCell ref="F239:H239"/>
    <mergeCell ref="A240:B240"/>
    <mergeCell ref="F240:H240"/>
    <mergeCell ref="A241:B241"/>
    <mergeCell ref="F241:H241"/>
    <mergeCell ref="A242:B242"/>
    <mergeCell ref="F242:H242"/>
    <mergeCell ref="A233:C233"/>
    <mergeCell ref="E233:H233"/>
    <mergeCell ref="A234:C234"/>
    <mergeCell ref="E234:H234"/>
    <mergeCell ref="A235:H235"/>
    <mergeCell ref="A236:C236"/>
    <mergeCell ref="F236:H236"/>
    <mergeCell ref="A237:B237"/>
    <mergeCell ref="F237:H237"/>
    <mergeCell ref="A228:C228"/>
    <mergeCell ref="E228:H228"/>
    <mergeCell ref="A229:C229"/>
    <mergeCell ref="E229:H229"/>
    <mergeCell ref="A230:C230"/>
    <mergeCell ref="E230:H230"/>
    <mergeCell ref="A231:C231"/>
    <mergeCell ref="E231:H231"/>
    <mergeCell ref="A232:C232"/>
    <mergeCell ref="E232:H232"/>
    <mergeCell ref="A223:H223"/>
    <mergeCell ref="A224:C224"/>
    <mergeCell ref="E224:H224"/>
    <mergeCell ref="A225:C225"/>
    <mergeCell ref="E225:H225"/>
    <mergeCell ref="A226:C226"/>
    <mergeCell ref="E226:H226"/>
    <mergeCell ref="A227:C227"/>
    <mergeCell ref="E227:H227"/>
    <mergeCell ref="A214:B214"/>
    <mergeCell ref="F214:H214"/>
    <mergeCell ref="A215:B215"/>
    <mergeCell ref="F215:H215"/>
    <mergeCell ref="A216:H216"/>
    <mergeCell ref="A217:C217"/>
    <mergeCell ref="E217:H217"/>
    <mergeCell ref="A219:H219"/>
    <mergeCell ref="A222:C222"/>
    <mergeCell ref="D222:H222"/>
    <mergeCell ref="A209:B209"/>
    <mergeCell ref="F209:H209"/>
    <mergeCell ref="A210:B210"/>
    <mergeCell ref="F210:H210"/>
    <mergeCell ref="A211:B211"/>
    <mergeCell ref="F211:H211"/>
    <mergeCell ref="A212:B212"/>
    <mergeCell ref="F212:H212"/>
    <mergeCell ref="A213:B213"/>
    <mergeCell ref="F213:H213"/>
    <mergeCell ref="A204:H204"/>
    <mergeCell ref="A205:C205"/>
    <mergeCell ref="F205:H205"/>
    <mergeCell ref="A206:B206"/>
    <mergeCell ref="F206:H206"/>
    <mergeCell ref="A207:B207"/>
    <mergeCell ref="F207:H207"/>
    <mergeCell ref="A208:B208"/>
    <mergeCell ref="F208:H208"/>
    <mergeCell ref="A199:C199"/>
    <mergeCell ref="E199:H199"/>
    <mergeCell ref="A200:C200"/>
    <mergeCell ref="E200:H200"/>
    <mergeCell ref="A201:C201"/>
    <mergeCell ref="E201:H201"/>
    <mergeCell ref="A202:C202"/>
    <mergeCell ref="E202:H202"/>
    <mergeCell ref="A203:C203"/>
    <mergeCell ref="E203:H203"/>
    <mergeCell ref="A194:C194"/>
    <mergeCell ref="E194:H194"/>
    <mergeCell ref="A195:C195"/>
    <mergeCell ref="E195:H195"/>
    <mergeCell ref="A196:C196"/>
    <mergeCell ref="E196:H196"/>
    <mergeCell ref="A197:C197"/>
    <mergeCell ref="E197:H197"/>
    <mergeCell ref="A198:C198"/>
    <mergeCell ref="E198:H198"/>
    <mergeCell ref="A185:H185"/>
    <mergeCell ref="A186:C186"/>
    <mergeCell ref="E186:H186"/>
    <mergeCell ref="A188:H188"/>
    <mergeCell ref="A191:C191"/>
    <mergeCell ref="D191:H191"/>
    <mergeCell ref="A192:H192"/>
    <mergeCell ref="A193:C193"/>
    <mergeCell ref="E193:H193"/>
    <mergeCell ref="A180:B180"/>
    <mergeCell ref="F180:H180"/>
    <mergeCell ref="A181:B181"/>
    <mergeCell ref="F181:H181"/>
    <mergeCell ref="A182:B182"/>
    <mergeCell ref="F182:H182"/>
    <mergeCell ref="A183:B183"/>
    <mergeCell ref="F183:H183"/>
    <mergeCell ref="A184:B184"/>
    <mergeCell ref="F184:H184"/>
    <mergeCell ref="A175:B175"/>
    <mergeCell ref="F175:H175"/>
    <mergeCell ref="A176:B176"/>
    <mergeCell ref="F176:H176"/>
    <mergeCell ref="A177:B177"/>
    <mergeCell ref="F177:H177"/>
    <mergeCell ref="A178:B178"/>
    <mergeCell ref="F178:H178"/>
    <mergeCell ref="A179:B179"/>
    <mergeCell ref="F179:H179"/>
    <mergeCell ref="A170:C170"/>
    <mergeCell ref="E170:H170"/>
    <mergeCell ref="A171:C171"/>
    <mergeCell ref="E171:H171"/>
    <mergeCell ref="A172:C172"/>
    <mergeCell ref="E172:H172"/>
    <mergeCell ref="A173:H173"/>
    <mergeCell ref="A174:C174"/>
    <mergeCell ref="F174:H174"/>
    <mergeCell ref="A165:C165"/>
    <mergeCell ref="E165:H165"/>
    <mergeCell ref="A166:C166"/>
    <mergeCell ref="E166:H166"/>
    <mergeCell ref="A167:C167"/>
    <mergeCell ref="E167:H167"/>
    <mergeCell ref="A168:C168"/>
    <mergeCell ref="E168:H168"/>
    <mergeCell ref="A169:C169"/>
    <mergeCell ref="E169:H169"/>
    <mergeCell ref="A157:H157"/>
    <mergeCell ref="A160:C160"/>
    <mergeCell ref="D160:H160"/>
    <mergeCell ref="A161:H161"/>
    <mergeCell ref="A162:C162"/>
    <mergeCell ref="E162:H162"/>
    <mergeCell ref="A163:C163"/>
    <mergeCell ref="E163:H163"/>
    <mergeCell ref="A164:C164"/>
    <mergeCell ref="E164:H164"/>
    <mergeCell ref="F147:H147"/>
    <mergeCell ref="A148:B148"/>
    <mergeCell ref="F148:H148"/>
    <mergeCell ref="A144:B144"/>
    <mergeCell ref="F144:H144"/>
    <mergeCell ref="A145:B145"/>
    <mergeCell ref="F145:H145"/>
    <mergeCell ref="A142:H142"/>
    <mergeCell ref="A143:C143"/>
    <mergeCell ref="F143:H143"/>
    <mergeCell ref="A155:C155"/>
    <mergeCell ref="E155:H155"/>
    <mergeCell ref="I2:J2"/>
    <mergeCell ref="I3:J3"/>
    <mergeCell ref="I4:J4"/>
    <mergeCell ref="A152:B152"/>
    <mergeCell ref="F152:H152"/>
    <mergeCell ref="A153:B153"/>
    <mergeCell ref="F153:H153"/>
    <mergeCell ref="A154:H154"/>
    <mergeCell ref="A149:B149"/>
    <mergeCell ref="F149:H149"/>
    <mergeCell ref="A150:B150"/>
    <mergeCell ref="F150:H150"/>
    <mergeCell ref="A151:B151"/>
    <mergeCell ref="F151:H151"/>
    <mergeCell ref="A146:B146"/>
    <mergeCell ref="F146:H146"/>
    <mergeCell ref="A147:B147"/>
    <mergeCell ref="A139:C139"/>
    <mergeCell ref="E139:H139"/>
    <mergeCell ref="A140:C140"/>
    <mergeCell ref="E140:H140"/>
    <mergeCell ref="A141:C141"/>
    <mergeCell ref="E141:H141"/>
    <mergeCell ref="A136:C136"/>
    <mergeCell ref="E136:H136"/>
    <mergeCell ref="A137:C137"/>
    <mergeCell ref="E137:H137"/>
    <mergeCell ref="A138:C138"/>
    <mergeCell ref="E138:H138"/>
    <mergeCell ref="A133:C133"/>
    <mergeCell ref="E133:H133"/>
    <mergeCell ref="A134:C134"/>
    <mergeCell ref="E134:H134"/>
    <mergeCell ref="A135:C135"/>
    <mergeCell ref="E135:H135"/>
    <mergeCell ref="A130:H130"/>
    <mergeCell ref="A131:C131"/>
    <mergeCell ref="E131:H131"/>
    <mergeCell ref="A132:C132"/>
    <mergeCell ref="E132:H132"/>
    <mergeCell ref="A124:C124"/>
    <mergeCell ref="E124:H124"/>
    <mergeCell ref="A126:H126"/>
    <mergeCell ref="A129:C129"/>
    <mergeCell ref="D129:H129"/>
    <mergeCell ref="A121:B121"/>
    <mergeCell ref="F121:H121"/>
    <mergeCell ref="A122:B122"/>
    <mergeCell ref="F122:H122"/>
    <mergeCell ref="A123:H123"/>
    <mergeCell ref="A119:B119"/>
    <mergeCell ref="F119:H119"/>
    <mergeCell ref="A120:B120"/>
    <mergeCell ref="F120:H120"/>
    <mergeCell ref="A111:H111"/>
    <mergeCell ref="A112:C112"/>
    <mergeCell ref="F112:H112"/>
    <mergeCell ref="A118:B118"/>
    <mergeCell ref="F118:H118"/>
    <mergeCell ref="A108:C108"/>
    <mergeCell ref="E108:H108"/>
    <mergeCell ref="A109:C109"/>
    <mergeCell ref="E109:H109"/>
    <mergeCell ref="A110:C110"/>
    <mergeCell ref="E110:H110"/>
    <mergeCell ref="A115:B115"/>
    <mergeCell ref="F115:H115"/>
    <mergeCell ref="A116:B116"/>
    <mergeCell ref="F116:H116"/>
    <mergeCell ref="A117:B117"/>
    <mergeCell ref="F117:H117"/>
    <mergeCell ref="A113:B113"/>
    <mergeCell ref="F113:H113"/>
    <mergeCell ref="A114:B114"/>
    <mergeCell ref="F114:H114"/>
    <mergeCell ref="A105:C105"/>
    <mergeCell ref="E105:H105"/>
    <mergeCell ref="A106:C106"/>
    <mergeCell ref="E106:H106"/>
    <mergeCell ref="A107:C107"/>
    <mergeCell ref="E107:H107"/>
    <mergeCell ref="A102:C102"/>
    <mergeCell ref="E102:H102"/>
    <mergeCell ref="A103:C103"/>
    <mergeCell ref="E103:H103"/>
    <mergeCell ref="A104:C104"/>
    <mergeCell ref="E104:H104"/>
    <mergeCell ref="A99:H99"/>
    <mergeCell ref="A100:C100"/>
    <mergeCell ref="E100:H100"/>
    <mergeCell ref="A101:C101"/>
    <mergeCell ref="E101:H101"/>
    <mergeCell ref="A93:C93"/>
    <mergeCell ref="E93:H93"/>
    <mergeCell ref="A95:H95"/>
    <mergeCell ref="A98:C98"/>
    <mergeCell ref="D98:H98"/>
    <mergeCell ref="A90:B90"/>
    <mergeCell ref="F90:H90"/>
    <mergeCell ref="A91:B91"/>
    <mergeCell ref="F91:H91"/>
    <mergeCell ref="A92:H92"/>
    <mergeCell ref="A88:B88"/>
    <mergeCell ref="F88:H88"/>
    <mergeCell ref="A89:B89"/>
    <mergeCell ref="F89:H89"/>
    <mergeCell ref="A80:H80"/>
    <mergeCell ref="A81:C81"/>
    <mergeCell ref="F81:H81"/>
    <mergeCell ref="A87:B87"/>
    <mergeCell ref="F87:H87"/>
    <mergeCell ref="A77:C77"/>
    <mergeCell ref="E77:H77"/>
    <mergeCell ref="A78:C78"/>
    <mergeCell ref="E78:H78"/>
    <mergeCell ref="A79:C79"/>
    <mergeCell ref="E79:H79"/>
    <mergeCell ref="A84:B84"/>
    <mergeCell ref="F84:H84"/>
    <mergeCell ref="A85:B85"/>
    <mergeCell ref="F85:H85"/>
    <mergeCell ref="A86:B86"/>
    <mergeCell ref="F86:H86"/>
    <mergeCell ref="A82:B82"/>
    <mergeCell ref="F82:H82"/>
    <mergeCell ref="A83:B83"/>
    <mergeCell ref="F83:H83"/>
    <mergeCell ref="A74:C74"/>
    <mergeCell ref="E74:H74"/>
    <mergeCell ref="A75:C75"/>
    <mergeCell ref="E75:H75"/>
    <mergeCell ref="A76:C76"/>
    <mergeCell ref="E76:H76"/>
    <mergeCell ref="A71:C71"/>
    <mergeCell ref="E71:H71"/>
    <mergeCell ref="A72:C72"/>
    <mergeCell ref="E72:H72"/>
    <mergeCell ref="A73:C73"/>
    <mergeCell ref="E73:H73"/>
    <mergeCell ref="A69:C69"/>
    <mergeCell ref="E69:H69"/>
    <mergeCell ref="A70:C70"/>
    <mergeCell ref="E70:H70"/>
    <mergeCell ref="A61:H61"/>
    <mergeCell ref="A62:C62"/>
    <mergeCell ref="E62:H62"/>
    <mergeCell ref="A64:H64"/>
    <mergeCell ref="A67:C67"/>
    <mergeCell ref="D67:H67"/>
    <mergeCell ref="A59:B59"/>
    <mergeCell ref="F59:H59"/>
    <mergeCell ref="A60:B60"/>
    <mergeCell ref="F60:H60"/>
    <mergeCell ref="A56:B56"/>
    <mergeCell ref="F56:H56"/>
    <mergeCell ref="A57:B57"/>
    <mergeCell ref="F57:H57"/>
    <mergeCell ref="A68:H68"/>
    <mergeCell ref="F54:H54"/>
    <mergeCell ref="A51:B51"/>
    <mergeCell ref="F51:H51"/>
    <mergeCell ref="A48:C48"/>
    <mergeCell ref="E48:H48"/>
    <mergeCell ref="A49:H49"/>
    <mergeCell ref="A50:C50"/>
    <mergeCell ref="F50:H50"/>
    <mergeCell ref="A58:B58"/>
    <mergeCell ref="F58:H58"/>
    <mergeCell ref="E16:H16"/>
    <mergeCell ref="A17:C17"/>
    <mergeCell ref="E17:H17"/>
    <mergeCell ref="F19:H19"/>
    <mergeCell ref="A29:B29"/>
    <mergeCell ref="A55:B55"/>
    <mergeCell ref="F55:H55"/>
    <mergeCell ref="A45:C45"/>
    <mergeCell ref="E45:H45"/>
    <mergeCell ref="A46:C46"/>
    <mergeCell ref="E46:H46"/>
    <mergeCell ref="A47:C47"/>
    <mergeCell ref="E47:H47"/>
    <mergeCell ref="A42:C42"/>
    <mergeCell ref="E42:H42"/>
    <mergeCell ref="A43:C43"/>
    <mergeCell ref="E43:H43"/>
    <mergeCell ref="A44:C44"/>
    <mergeCell ref="E44:H44"/>
    <mergeCell ref="A52:B52"/>
    <mergeCell ref="F52:H52"/>
    <mergeCell ref="A53:B53"/>
    <mergeCell ref="F53:H53"/>
    <mergeCell ref="A54:B54"/>
    <mergeCell ref="A39:C39"/>
    <mergeCell ref="E39:H39"/>
    <mergeCell ref="A40:C40"/>
    <mergeCell ref="E40:H40"/>
    <mergeCell ref="A41:C41"/>
    <mergeCell ref="E41:H41"/>
    <mergeCell ref="A33:H33"/>
    <mergeCell ref="A36:C36"/>
    <mergeCell ref="D36:H36"/>
    <mergeCell ref="A37:H37"/>
    <mergeCell ref="A38:C38"/>
    <mergeCell ref="E38:H38"/>
    <mergeCell ref="A2:H2"/>
    <mergeCell ref="A18:H18"/>
    <mergeCell ref="A6:H6"/>
    <mergeCell ref="E7:H7"/>
    <mergeCell ref="A7:C7"/>
    <mergeCell ref="A10:C10"/>
    <mergeCell ref="E10:H10"/>
    <mergeCell ref="A11:C11"/>
    <mergeCell ref="E11:H11"/>
    <mergeCell ref="A12:C12"/>
    <mergeCell ref="E12:H12"/>
    <mergeCell ref="A13:C13"/>
    <mergeCell ref="E13:H13"/>
    <mergeCell ref="A14:C14"/>
    <mergeCell ref="E14:H14"/>
    <mergeCell ref="D5:H5"/>
    <mergeCell ref="A5:C5"/>
    <mergeCell ref="A8:C8"/>
    <mergeCell ref="E8:H8"/>
    <mergeCell ref="A9:C9"/>
    <mergeCell ref="E9:H9"/>
    <mergeCell ref="A15:C15"/>
    <mergeCell ref="E15:H15"/>
    <mergeCell ref="A16:C16"/>
    <mergeCell ref="F29:H29"/>
    <mergeCell ref="A31:C31"/>
    <mergeCell ref="E31:H31"/>
    <mergeCell ref="A19:C19"/>
    <mergeCell ref="A21:B21"/>
    <mergeCell ref="F21:H21"/>
    <mergeCell ref="A22:B22"/>
    <mergeCell ref="F22:H22"/>
    <mergeCell ref="A23:B23"/>
    <mergeCell ref="F23:H23"/>
    <mergeCell ref="A24:B24"/>
    <mergeCell ref="F24:H24"/>
    <mergeCell ref="A25:B25"/>
    <mergeCell ref="F25:H25"/>
    <mergeCell ref="A28:B28"/>
    <mergeCell ref="A30:H30"/>
    <mergeCell ref="A26:B26"/>
    <mergeCell ref="F26:H26"/>
    <mergeCell ref="A27:B27"/>
    <mergeCell ref="F27:H27"/>
    <mergeCell ref="F28:H28"/>
    <mergeCell ref="F20:H20"/>
    <mergeCell ref="A20:B20"/>
  </mergeCells>
  <dataValidations count="4">
    <dataValidation type="list" showInputMessage="1" showErrorMessage="1" promptTitle="Choose Area" sqref="A4 A97 A35 A66 A128 A159 A190 A221 A252 A283" xr:uid="{00000000-0002-0000-1400-000000000000}">
      <formula1>CatchNo</formula1>
    </dataValidation>
    <dataValidation type="list" showInputMessage="1" showErrorMessage="1" promptTitle="Yes or No?" sqref="D8:D9 D101:D102 D39:D40 D70:D71 D132:D133 D163:D164 D194:D195 D225:D226 D256:D257 D287:D288" xr:uid="{34CE9144-ABDC-4D10-A43A-A98DAC5E4D39}">
      <formula1>YesNo</formula1>
    </dataValidation>
    <dataValidation type="decimal" operator="greaterThan" allowBlank="1" showInputMessage="1" showErrorMessage="1" sqref="D10:D17 D20 D24 D26:D27 D41:D48 D38 D57:D58 D55 D51 D72:D79 D69 D82 D86 D88:D89 D7 D103:D110 D100 D113 D117 D119:D120 D134:D141 D131 D144 D148 D150:D151 D165:D172 D162 D175 D179 D181:D182 D196:D203 D193 D206 D210 D212:D213 D227:D234 D224 D237 D241 D243:D244 D258:D265 D255 D268 D272 D274:D275 D289:D296 D286 D299 D303 D305:D306" xr:uid="{6A478312-C48A-4681-8825-6306C5C03E73}">
      <formula1>0</formula1>
    </dataValidation>
    <dataValidation type="whole" operator="greaterThan" allowBlank="1" showInputMessage="1" showErrorMessage="1" sqref="D60 D29 D91 D122 D153 D184 D215 D246 D277 D308" xr:uid="{30AF2C14-5C43-4D5C-A084-5582F5348062}">
      <formula1>0</formula1>
    </dataValidation>
  </dataValidations>
  <pageMargins left="0.5" right="0.5" top="0.75" bottom="0.5" header="0.3" footer="0.3"/>
  <pageSetup paperSize="278" orientation="portrait" r:id="rId1"/>
  <headerFooter>
    <oddHeader xml:space="preserve">&amp;C&amp;"Arial,Regular"&amp;18Porous Pavement (RR-9)&amp;"-,Regular"
</oddHeader>
  </headerFooter>
  <rowBreaks count="10" manualBreakCount="10">
    <brk id="31" max="16383" man="1"/>
    <brk id="62" max="16383" man="1"/>
    <brk id="93" max="16383" man="1"/>
    <brk id="124" max="16383" man="1"/>
    <brk id="155" max="16383" man="1"/>
    <brk id="186" max="16383" man="1"/>
    <brk id="217" max="16383" man="1"/>
    <brk id="248" max="16383" man="1"/>
    <brk id="279" max="16383" man="1"/>
    <brk id="310" max="16383" man="1"/>
  </rowBreaks>
  <extLst>
    <ext xmlns:x14="http://schemas.microsoft.com/office/spreadsheetml/2009/9/main" uri="{CCE6A557-97BC-4b89-ADB6-D9C93CAAB3DF}">
      <x14:dataValidations xmlns:xm="http://schemas.microsoft.com/office/excel/2006/main" count="1">
        <x14:dataValidation type="list" showInputMessage="1" showErrorMessage="1" promptTitle="Yes or No?" xr:uid="{41D834F0-5E59-4EE1-A21C-23BF7D3EF999}">
          <x14:formula1>
            <xm:f>Reference!$A$2:$A$5</xm:f>
          </x14:formula1>
          <xm:sqref>D5 D98 D36 D67 D129 D160 D191 D222 D253 D284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P210"/>
  <sheetViews>
    <sheetView view="pageLayout" zoomScaleNormal="100" workbookViewId="0">
      <selection activeCell="L9" sqref="L9"/>
    </sheetView>
  </sheetViews>
  <sheetFormatPr defaultColWidth="9.1796875" defaultRowHeight="12.5" x14ac:dyDescent="0.35"/>
  <cols>
    <col min="1" max="1" width="12.7265625" style="12" customWidth="1"/>
    <col min="2" max="2" width="11.81640625" style="12" customWidth="1"/>
    <col min="3" max="3" width="13.1796875" style="12" customWidth="1"/>
    <col min="4" max="4" width="10.7265625" style="12" customWidth="1"/>
    <col min="5" max="6" width="7.54296875" style="12" customWidth="1"/>
    <col min="7" max="7" width="12.54296875" style="12" customWidth="1"/>
    <col min="8" max="8" width="17.81640625" style="12" customWidth="1"/>
    <col min="9" max="16384" width="9.1796875" style="12"/>
  </cols>
  <sheetData>
    <row r="1" spans="1:16" ht="15" customHeight="1" x14ac:dyDescent="0.35">
      <c r="A1" s="16" t="s">
        <v>56</v>
      </c>
      <c r="B1" s="225" t="str">
        <f>IF('STEP 2-WQv Calculation'!$B$4="","",'STEP 2-WQv Calculation'!$B$4)</f>
        <v/>
      </c>
      <c r="C1" s="146"/>
      <c r="D1" s="146"/>
      <c r="E1" s="146"/>
      <c r="F1" s="146"/>
      <c r="G1" s="146"/>
      <c r="H1" s="146"/>
      <c r="I1" s="21"/>
    </row>
    <row r="2" spans="1:16" ht="13" x14ac:dyDescent="0.35">
      <c r="A2" s="309" t="s">
        <v>293</v>
      </c>
      <c r="B2" s="309"/>
      <c r="C2" s="309"/>
      <c r="D2" s="309"/>
      <c r="E2" s="309"/>
      <c r="F2" s="309"/>
      <c r="G2" s="309"/>
      <c r="H2" s="309"/>
      <c r="I2" s="255" t="s">
        <v>219</v>
      </c>
      <c r="J2" s="256"/>
      <c r="K2" s="49">
        <f>SUM(B4,B25,B46,B67,B88,B109,B130,B151,B172,B193)</f>
        <v>0</v>
      </c>
      <c r="L2" s="12" t="s">
        <v>223</v>
      </c>
    </row>
    <row r="3" spans="1:16" ht="46.75" customHeight="1" x14ac:dyDescent="0.35">
      <c r="A3" s="204" t="s">
        <v>60</v>
      </c>
      <c r="B3" s="205" t="s">
        <v>61</v>
      </c>
      <c r="C3" s="205" t="s">
        <v>62</v>
      </c>
      <c r="D3" s="205" t="s">
        <v>420</v>
      </c>
      <c r="E3" s="205" t="s">
        <v>64</v>
      </c>
      <c r="F3" s="205" t="s">
        <v>65</v>
      </c>
      <c r="G3" s="205" t="s">
        <v>244</v>
      </c>
      <c r="H3" s="206" t="s">
        <v>13</v>
      </c>
      <c r="I3" s="255" t="s">
        <v>245</v>
      </c>
      <c r="J3" s="256"/>
      <c r="K3" s="21">
        <f>SUM(C4,C25,C46,C67,C88,C109,C130,C151,C172,C193)</f>
        <v>0</v>
      </c>
      <c r="L3" s="12" t="s">
        <v>223</v>
      </c>
    </row>
    <row r="4" spans="1:16" ht="30.25" customHeight="1" x14ac:dyDescent="0.3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27">
        <f>'STEP 2-WQv Calculation'!B5</f>
        <v>0</v>
      </c>
      <c r="H4" s="29" t="str">
        <f>IF($A4="","",(LOOKUP($A4,'STEP 2-WQv Calculation'!$A$8:$A$37,'STEP 2-WQv Calculation'!$G$8:$G$37)))</f>
        <v/>
      </c>
      <c r="I4" s="255" t="s">
        <v>227</v>
      </c>
      <c r="J4" s="256"/>
      <c r="K4" s="28">
        <f>SUM(E21,E42,E63,E84,E105,E126,E147,E168,E189,E210)</f>
        <v>0</v>
      </c>
      <c r="L4" s="12" t="s">
        <v>2</v>
      </c>
    </row>
    <row r="5" spans="1:16" s="1" customFormat="1" ht="28.15" customHeight="1" x14ac:dyDescent="0.35">
      <c r="A5" s="322" t="s">
        <v>421</v>
      </c>
      <c r="B5" s="323"/>
      <c r="C5" s="324"/>
      <c r="D5" s="364" t="s">
        <v>692</v>
      </c>
      <c r="E5" s="365"/>
      <c r="F5" s="365"/>
      <c r="G5" s="365"/>
      <c r="H5" s="366"/>
      <c r="I5" s="4"/>
    </row>
    <row r="6" spans="1:16" s="1" customFormat="1" ht="15" customHeight="1" x14ac:dyDescent="0.35">
      <c r="A6" s="273" t="s">
        <v>226</v>
      </c>
      <c r="B6" s="273"/>
      <c r="C6" s="273"/>
      <c r="D6" s="273"/>
      <c r="E6" s="273"/>
      <c r="F6" s="273"/>
      <c r="G6" s="273"/>
      <c r="H6" s="273"/>
      <c r="I6" s="4"/>
    </row>
    <row r="7" spans="1:16" s="1" customFormat="1" ht="14.5" x14ac:dyDescent="0.35">
      <c r="A7" s="242" t="s">
        <v>422</v>
      </c>
      <c r="B7" s="243"/>
      <c r="C7" s="244"/>
      <c r="D7" s="211"/>
      <c r="E7" s="322" t="str">
        <f>IF(AND(D5="Intensive Green Roof",D7&gt;10),"Does not meet design criteria",IF(AND(D5="Extensive Green Roof",D7&gt;25),"Does not meet design criteria",IF(AND(D5="Extensive Green Roof",D7&gt;10),"Strapping and drainage layer stabilization required","")))</f>
        <v/>
      </c>
      <c r="F7" s="323"/>
      <c r="G7" s="323"/>
      <c r="H7" s="324"/>
      <c r="I7" s="4"/>
    </row>
    <row r="8" spans="1:16" s="1" customFormat="1" ht="26.5" customHeight="1" x14ac:dyDescent="0.35">
      <c r="A8" s="242" t="s">
        <v>423</v>
      </c>
      <c r="B8" s="243"/>
      <c r="C8" s="244"/>
      <c r="D8" s="211"/>
      <c r="E8" s="322" t="str">
        <f>IF(D8="","",IF(D8&lt;6,"Does not meet design criteria",""))</f>
        <v/>
      </c>
      <c r="F8" s="323"/>
      <c r="G8" s="323"/>
      <c r="H8" s="324"/>
      <c r="I8" s="4"/>
    </row>
    <row r="9" spans="1:16" s="1" customFormat="1" ht="27.65" customHeight="1" x14ac:dyDescent="0.35">
      <c r="A9" s="242" t="s">
        <v>424</v>
      </c>
      <c r="B9" s="243"/>
      <c r="C9" s="244"/>
      <c r="D9" s="211"/>
      <c r="E9" s="322" t="str">
        <f>IF(D9="No","Does not meet design criteria","")</f>
        <v/>
      </c>
      <c r="F9" s="323"/>
      <c r="G9" s="323"/>
      <c r="H9" s="324"/>
      <c r="I9" s="4"/>
    </row>
    <row r="10" spans="1:16" s="1" customFormat="1" ht="26.5" customHeight="1" x14ac:dyDescent="0.35">
      <c r="A10" s="242" t="s">
        <v>425</v>
      </c>
      <c r="B10" s="243"/>
      <c r="C10" s="244"/>
      <c r="D10" s="211"/>
      <c r="E10" s="322" t="str">
        <f>IF(D10="No","Does not meet design criteria","")</f>
        <v/>
      </c>
      <c r="F10" s="323"/>
      <c r="G10" s="323"/>
      <c r="H10" s="324"/>
      <c r="I10" s="4"/>
    </row>
    <row r="11" spans="1:16" s="1" customFormat="1" ht="26.5" customHeight="1" x14ac:dyDescent="0.35">
      <c r="A11" s="242" t="s">
        <v>426</v>
      </c>
      <c r="B11" s="243"/>
      <c r="C11" s="244"/>
      <c r="D11" s="211"/>
      <c r="E11" s="322" t="str">
        <f>IF(D11="No","Does not meet design criteria","")</f>
        <v/>
      </c>
      <c r="F11" s="323"/>
      <c r="G11" s="323"/>
      <c r="H11" s="324"/>
      <c r="I11" s="4"/>
    </row>
    <row r="12" spans="1:16" s="1" customFormat="1" ht="26.5" customHeight="1" x14ac:dyDescent="0.35">
      <c r="A12" s="242" t="s">
        <v>427</v>
      </c>
      <c r="B12" s="243"/>
      <c r="C12" s="244"/>
      <c r="D12" s="211"/>
      <c r="E12" s="322" t="str">
        <f>IF(D12="No","Does not meet design criteria","")</f>
        <v/>
      </c>
      <c r="F12" s="323"/>
      <c r="G12" s="323"/>
      <c r="H12" s="324"/>
      <c r="I12" s="4"/>
    </row>
    <row r="13" spans="1:16" ht="15" customHeight="1" x14ac:dyDescent="0.35">
      <c r="A13" s="241" t="s">
        <v>232</v>
      </c>
      <c r="B13" s="241"/>
      <c r="C13" s="241"/>
      <c r="D13" s="241"/>
      <c r="E13" s="241"/>
      <c r="F13" s="241"/>
      <c r="G13" s="241"/>
      <c r="H13" s="241"/>
    </row>
    <row r="14" spans="1:16" s="34" customFormat="1" ht="15" customHeight="1" x14ac:dyDescent="0.3">
      <c r="A14" s="378"/>
      <c r="B14" s="379"/>
      <c r="C14" s="379"/>
      <c r="D14" s="380"/>
      <c r="E14" s="208" t="s">
        <v>256</v>
      </c>
      <c r="F14" s="38" t="s">
        <v>257</v>
      </c>
      <c r="G14" s="376"/>
      <c r="H14" s="377"/>
      <c r="I14" s="4"/>
      <c r="J14" s="4"/>
      <c r="K14" s="4"/>
      <c r="L14" s="4"/>
      <c r="M14" s="4"/>
      <c r="N14" s="4"/>
      <c r="O14" s="4"/>
      <c r="P14" s="4"/>
    </row>
    <row r="15" spans="1:16" ht="15" customHeight="1" x14ac:dyDescent="0.35">
      <c r="A15" s="245" t="s">
        <v>428</v>
      </c>
      <c r="B15" s="245"/>
      <c r="C15" s="245"/>
      <c r="D15" s="198" t="s">
        <v>429</v>
      </c>
      <c r="E15" s="210"/>
      <c r="F15" s="193" t="s">
        <v>316</v>
      </c>
      <c r="G15" s="344"/>
      <c r="H15" s="344"/>
    </row>
    <row r="16" spans="1:16" ht="15" customHeight="1" x14ac:dyDescent="0.35">
      <c r="A16" s="245" t="s">
        <v>379</v>
      </c>
      <c r="B16" s="245"/>
      <c r="C16" s="245"/>
      <c r="D16" s="198" t="s">
        <v>430</v>
      </c>
      <c r="E16" s="218">
        <v>2</v>
      </c>
      <c r="F16" s="193" t="s">
        <v>264</v>
      </c>
      <c r="G16" s="344" t="str">
        <f>IF(AND(D5="Intensive Green Roof",E16&gt;24),"Does not meet design criteria",IF(AND(D5="Intensive Green Roof",E16&lt;6),"Does not meet design criteria",IF(AND(D5="Extensive Green Roof",E16&gt;6),"Design as Intensive Green Roof",IF(AND(D5="Extensive Green Roof",E16&lt;3),"Does not meet design criteria",""))))</f>
        <v>Does not meet design criteria</v>
      </c>
      <c r="H16" s="344"/>
    </row>
    <row r="17" spans="1:8" ht="15" customHeight="1" x14ac:dyDescent="0.35">
      <c r="A17" s="245" t="s">
        <v>431</v>
      </c>
      <c r="B17" s="245"/>
      <c r="C17" s="245"/>
      <c r="D17" s="198" t="s">
        <v>432</v>
      </c>
      <c r="E17" s="216"/>
      <c r="F17" s="193" t="s">
        <v>264</v>
      </c>
      <c r="G17" s="344"/>
      <c r="H17" s="344"/>
    </row>
    <row r="18" spans="1:8" ht="15" customHeight="1" x14ac:dyDescent="0.35">
      <c r="A18" s="245" t="s">
        <v>433</v>
      </c>
      <c r="B18" s="245"/>
      <c r="C18" s="245"/>
      <c r="D18" s="198" t="s">
        <v>434</v>
      </c>
      <c r="E18" s="216"/>
      <c r="F18" s="193"/>
      <c r="G18" s="344" t="s">
        <v>435</v>
      </c>
      <c r="H18" s="344"/>
    </row>
    <row r="19" spans="1:8" ht="15" customHeight="1" x14ac:dyDescent="0.35">
      <c r="A19" s="245" t="s">
        <v>436</v>
      </c>
      <c r="B19" s="245"/>
      <c r="C19" s="245"/>
      <c r="D19" s="198" t="s">
        <v>437</v>
      </c>
      <c r="E19" s="216"/>
      <c r="F19" s="193"/>
      <c r="G19" s="344" t="s">
        <v>435</v>
      </c>
      <c r="H19" s="344"/>
    </row>
    <row r="20" spans="1:8" ht="15" customHeight="1" x14ac:dyDescent="0.35">
      <c r="A20" s="245" t="s">
        <v>438</v>
      </c>
      <c r="B20" s="245"/>
      <c r="C20" s="245"/>
      <c r="D20" s="198" t="s">
        <v>345</v>
      </c>
      <c r="E20" s="52">
        <f>E15*(((E16/12)*E18)+((E17/12)*E19))</f>
        <v>0</v>
      </c>
      <c r="F20" s="193" t="s">
        <v>2</v>
      </c>
      <c r="G20" s="344" t="str">
        <f>IF(E20=0,"",IF(E20&lt;F4,"Does not meet sizing criteria",""))</f>
        <v/>
      </c>
      <c r="H20" s="344"/>
    </row>
    <row r="21" spans="1:8" ht="30" customHeight="1" x14ac:dyDescent="0.35">
      <c r="A21" s="391" t="s">
        <v>241</v>
      </c>
      <c r="B21" s="391"/>
      <c r="C21" s="391"/>
      <c r="D21" s="392"/>
      <c r="E21" s="147" t="str">
        <f>IF(A4="","",IF(AND(D5="Intensive Green Roof",D7&gt;10),0,IF(AND(D5="Extensive Green Roof",D7&gt;25),0,IF(D8&lt;6,0,IF(D9="No",0,IF(D10="No",0,IF(D11="No",0,IF(D12="No",0,IF(AND(D5="Intensive Green Roof",E16&gt;24),0,IF(AND(E16&lt;6),0,IF(AND(D5="Extensive Green Roof",E16&gt;6),0,IF(AND(D5="Extensive Green Roof",E16&lt;3),0,IF(E20&lt;F4,0,F4*1)))))))))))))</f>
        <v/>
      </c>
      <c r="F21" s="393" t="s">
        <v>2</v>
      </c>
      <c r="G21" s="394"/>
      <c r="H21" s="395"/>
    </row>
    <row r="22" spans="1:8" ht="13" x14ac:dyDescent="0.35">
      <c r="A22" s="16" t="s">
        <v>56</v>
      </c>
      <c r="B22" s="225" t="str">
        <f>IF('STEP 2-WQv Calculation'!$B$4="","",'STEP 2-WQv Calculation'!$B$4)</f>
        <v/>
      </c>
      <c r="C22" s="146"/>
      <c r="D22" s="146"/>
      <c r="E22" s="146"/>
      <c r="F22" s="146"/>
      <c r="G22" s="146"/>
      <c r="H22" s="146"/>
    </row>
    <row r="23" spans="1:8" ht="13" x14ac:dyDescent="0.35">
      <c r="A23" s="309" t="s">
        <v>293</v>
      </c>
      <c r="B23" s="309"/>
      <c r="C23" s="309"/>
      <c r="D23" s="309"/>
      <c r="E23" s="309"/>
      <c r="F23" s="309"/>
      <c r="G23" s="309"/>
      <c r="H23" s="309"/>
    </row>
    <row r="24" spans="1:8" ht="39" x14ac:dyDescent="0.35">
      <c r="A24" s="204" t="s">
        <v>60</v>
      </c>
      <c r="B24" s="205" t="s">
        <v>61</v>
      </c>
      <c r="C24" s="205" t="s">
        <v>62</v>
      </c>
      <c r="D24" s="205" t="s">
        <v>420</v>
      </c>
      <c r="E24" s="205" t="s">
        <v>64</v>
      </c>
      <c r="F24" s="205" t="s">
        <v>65</v>
      </c>
      <c r="G24" s="205" t="s">
        <v>244</v>
      </c>
      <c r="H24" s="206" t="s">
        <v>13</v>
      </c>
    </row>
    <row r="25" spans="1:8" x14ac:dyDescent="0.35">
      <c r="A25" s="17"/>
      <c r="B25" s="18" t="str">
        <f>IF($A25="","",(LOOKUP($A25,'STEP 2-WQv Calculation'!$A$8:$A$37,'STEP 2-WQv Calculation'!$B$8:$B$37)))</f>
        <v/>
      </c>
      <c r="C25" s="18" t="str">
        <f>IF($A25="","",(LOOKUP($A25,'STEP 2-WQv Calculation'!$A$8:$A$37,'STEP 2-WQv Calculation'!$C$8:$C$37)))</f>
        <v/>
      </c>
      <c r="D25" s="53" t="str">
        <f>IF($A25="","",(LOOKUP($A25,'STEP 2-WQv Calculation'!$A$8:$A$37,'STEP 2-WQv Calculation'!$D$8:$D$37)))</f>
        <v/>
      </c>
      <c r="E25" s="18" t="str">
        <f>IF($A25="","",(LOOKUP($A25,'STEP 2-WQv Calculation'!$A$8:$A$37,'STEP 2-WQv Calculation'!$E$8:$E$37)))</f>
        <v/>
      </c>
      <c r="F25" s="42" t="str">
        <f>IF($A25="","",(LOOKUP($A25,'STEP 2-WQv Calculation'!$A$8:$A$37,'STEP 2-WQv Calculation'!$F$8:$F$37)))</f>
        <v/>
      </c>
      <c r="G25" s="27">
        <f>'STEP 2-WQv Calculation'!B5</f>
        <v>0</v>
      </c>
      <c r="H25" s="29" t="str">
        <f>IF($A25="","",(LOOKUP($A25,'STEP 2-WQv Calculation'!$A$8:$A$37,'STEP 2-WQv Calculation'!$G$8:$G$37)))</f>
        <v/>
      </c>
    </row>
    <row r="26" spans="1:8" ht="46.75" customHeight="1" x14ac:dyDescent="0.35">
      <c r="A26" s="242" t="s">
        <v>421</v>
      </c>
      <c r="B26" s="243"/>
      <c r="C26" s="244"/>
      <c r="D26" s="364"/>
      <c r="E26" s="365"/>
      <c r="F26" s="365"/>
      <c r="G26" s="365"/>
      <c r="H26" s="366"/>
    </row>
    <row r="27" spans="1:8" ht="30.25" customHeight="1" x14ac:dyDescent="0.3">
      <c r="A27" s="273" t="s">
        <v>226</v>
      </c>
      <c r="B27" s="273"/>
      <c r="C27" s="273"/>
      <c r="D27" s="273"/>
      <c r="E27" s="273"/>
      <c r="F27" s="273"/>
      <c r="G27" s="273"/>
      <c r="H27" s="273"/>
    </row>
    <row r="28" spans="1:8" ht="12.75" customHeight="1" x14ac:dyDescent="0.35">
      <c r="A28" s="242" t="s">
        <v>422</v>
      </c>
      <c r="B28" s="243"/>
      <c r="C28" s="244"/>
      <c r="D28" s="211"/>
      <c r="E28" s="322" t="str">
        <f>IF(AND(D26="Intensive Green Roof",D28&gt;10),"Does not meet design criteria",IF(AND(D26="Extensive Green Roof",D28&gt;25),"Does not meet design criteria",IF(AND(D26="Extensive Green Roof",D28&gt;10),"Strapping and drainage layer stabilization required","")))</f>
        <v/>
      </c>
      <c r="F28" s="323"/>
      <c r="G28" s="323"/>
      <c r="H28" s="324"/>
    </row>
    <row r="29" spans="1:8" ht="28.9" customHeight="1" x14ac:dyDescent="0.35">
      <c r="A29" s="242" t="s">
        <v>423</v>
      </c>
      <c r="B29" s="243"/>
      <c r="C29" s="244"/>
      <c r="D29" s="211"/>
      <c r="E29" s="322" t="str">
        <f>IF(D29="","",IF(D29&lt;6,"Does not meet design criteria",""))</f>
        <v/>
      </c>
      <c r="F29" s="323"/>
      <c r="G29" s="323"/>
      <c r="H29" s="324"/>
    </row>
    <row r="30" spans="1:8" ht="28.9" customHeight="1" x14ac:dyDescent="0.35">
      <c r="A30" s="242" t="s">
        <v>424</v>
      </c>
      <c r="B30" s="243"/>
      <c r="C30" s="244"/>
      <c r="D30" s="211"/>
      <c r="E30" s="322" t="str">
        <f>IF(D30="No","Does not meet design criteria","")</f>
        <v/>
      </c>
      <c r="F30" s="323"/>
      <c r="G30" s="323"/>
      <c r="H30" s="324"/>
    </row>
    <row r="31" spans="1:8" ht="28.9" customHeight="1" x14ac:dyDescent="0.35">
      <c r="A31" s="242" t="s">
        <v>425</v>
      </c>
      <c r="B31" s="243"/>
      <c r="C31" s="244"/>
      <c r="D31" s="211"/>
      <c r="E31" s="322" t="str">
        <f>IF(D31="No","Does not meet design criteria","")</f>
        <v/>
      </c>
      <c r="F31" s="323"/>
      <c r="G31" s="323"/>
      <c r="H31" s="324"/>
    </row>
    <row r="32" spans="1:8" ht="28.9" customHeight="1" x14ac:dyDescent="0.35">
      <c r="A32" s="242" t="s">
        <v>426</v>
      </c>
      <c r="B32" s="243"/>
      <c r="C32" s="244"/>
      <c r="D32" s="211"/>
      <c r="E32" s="322" t="str">
        <f>IF(D32="No","Does not meet design criteria","")</f>
        <v/>
      </c>
      <c r="F32" s="323"/>
      <c r="G32" s="323"/>
      <c r="H32" s="324"/>
    </row>
    <row r="33" spans="1:8" ht="28.9" customHeight="1" x14ac:dyDescent="0.35">
      <c r="A33" s="242" t="s">
        <v>427</v>
      </c>
      <c r="B33" s="243"/>
      <c r="C33" s="244"/>
      <c r="D33" s="211"/>
      <c r="E33" s="322" t="str">
        <f>IF(D33="No","Does not meet design criteria","")</f>
        <v/>
      </c>
      <c r="F33" s="323"/>
      <c r="G33" s="323"/>
      <c r="H33" s="324"/>
    </row>
    <row r="34" spans="1:8" ht="15" customHeight="1" x14ac:dyDescent="0.35">
      <c r="A34" s="241" t="s">
        <v>232</v>
      </c>
      <c r="B34" s="241"/>
      <c r="C34" s="241"/>
      <c r="D34" s="241"/>
      <c r="E34" s="241"/>
      <c r="F34" s="241"/>
      <c r="G34" s="241"/>
      <c r="H34" s="241"/>
    </row>
    <row r="35" spans="1:8" ht="15" customHeight="1" x14ac:dyDescent="0.35">
      <c r="A35" s="378"/>
      <c r="B35" s="379"/>
      <c r="C35" s="379"/>
      <c r="D35" s="380"/>
      <c r="E35" s="208" t="s">
        <v>256</v>
      </c>
      <c r="F35" s="38" t="s">
        <v>257</v>
      </c>
      <c r="G35" s="376"/>
      <c r="H35" s="377"/>
    </row>
    <row r="36" spans="1:8" ht="15" customHeight="1" x14ac:dyDescent="0.35">
      <c r="A36" s="245" t="s">
        <v>428</v>
      </c>
      <c r="B36" s="245"/>
      <c r="C36" s="245"/>
      <c r="D36" s="198" t="s">
        <v>429</v>
      </c>
      <c r="E36" s="210"/>
      <c r="F36" s="193" t="s">
        <v>316</v>
      </c>
      <c r="G36" s="344"/>
      <c r="H36" s="344"/>
    </row>
    <row r="37" spans="1:8" ht="15" customHeight="1" x14ac:dyDescent="0.35">
      <c r="A37" s="245" t="s">
        <v>379</v>
      </c>
      <c r="B37" s="245"/>
      <c r="C37" s="245"/>
      <c r="D37" s="198" t="s">
        <v>430</v>
      </c>
      <c r="E37" s="218"/>
      <c r="F37" s="193" t="s">
        <v>264</v>
      </c>
      <c r="G37" s="344" t="str">
        <f>IF(AND(D26="Intensive Green Roof",E37&gt;24),"Does not meet design criteria",IF(AND(D26="Intensive Green Roof",E37&lt;6),"Does not meet design criteria",IF(AND(D26="Extensive Green Roof",E37&gt;6),"Design as Intensive Green Roof",IF(AND(D26="Extensive Green Roof",E37&lt;3),"Does not meet design criteria",""))))</f>
        <v/>
      </c>
      <c r="H37" s="344"/>
    </row>
    <row r="38" spans="1:8" ht="15" customHeight="1" x14ac:dyDescent="0.35">
      <c r="A38" s="245" t="s">
        <v>431</v>
      </c>
      <c r="B38" s="245"/>
      <c r="C38" s="245"/>
      <c r="D38" s="198" t="s">
        <v>432</v>
      </c>
      <c r="E38" s="216"/>
      <c r="F38" s="193" t="s">
        <v>264</v>
      </c>
      <c r="G38" s="344"/>
      <c r="H38" s="344"/>
    </row>
    <row r="39" spans="1:8" ht="15" customHeight="1" x14ac:dyDescent="0.35">
      <c r="A39" s="245" t="s">
        <v>433</v>
      </c>
      <c r="B39" s="245"/>
      <c r="C39" s="245"/>
      <c r="D39" s="198" t="s">
        <v>434</v>
      </c>
      <c r="E39" s="216"/>
      <c r="F39" s="193"/>
      <c r="G39" s="344" t="s">
        <v>435</v>
      </c>
      <c r="H39" s="344"/>
    </row>
    <row r="40" spans="1:8" ht="15" customHeight="1" x14ac:dyDescent="0.35">
      <c r="A40" s="245" t="s">
        <v>436</v>
      </c>
      <c r="B40" s="245"/>
      <c r="C40" s="245"/>
      <c r="D40" s="198" t="s">
        <v>437</v>
      </c>
      <c r="E40" s="216"/>
      <c r="F40" s="193"/>
      <c r="G40" s="344" t="s">
        <v>435</v>
      </c>
      <c r="H40" s="344"/>
    </row>
    <row r="41" spans="1:8" ht="15" customHeight="1" x14ac:dyDescent="0.35">
      <c r="A41" s="245" t="s">
        <v>438</v>
      </c>
      <c r="B41" s="245"/>
      <c r="C41" s="245"/>
      <c r="D41" s="198" t="s">
        <v>345</v>
      </c>
      <c r="E41" s="52">
        <f>E36*(((E37/12)*E39)+((E38/12)*E40))</f>
        <v>0</v>
      </c>
      <c r="F41" s="193" t="s">
        <v>2</v>
      </c>
      <c r="G41" s="344" t="str">
        <f>IF(E41=0,"",IF(E41&lt;F25,"Does not meet sizing criteria",""))</f>
        <v/>
      </c>
      <c r="H41" s="344"/>
    </row>
    <row r="42" spans="1:8" ht="13" x14ac:dyDescent="0.35">
      <c r="A42" s="391" t="s">
        <v>241</v>
      </c>
      <c r="B42" s="391"/>
      <c r="C42" s="391"/>
      <c r="D42" s="392"/>
      <c r="E42" s="147" t="str">
        <f>IF(A25="","",IF(AND(D26="Intensive Green Roof",D28&gt;10),0,IF(AND(D26="Extensive Green Roof",D28&gt;25),0,IF(D29&lt;6,0,IF(D30="No",0,IF(D31="No",0,IF(D32="No",0,IF(D33="No",0,IF(AND(D26="Intensive Green Roof",E37&gt;24),0,IF(AND(E37&lt;6),0,IF(AND(D26="Extensive Green Roof",E37&gt;6),0,IF(AND(D26="Extensive Green Roof",E37&lt;3),0,IF(E41&lt;F25,0,F25*1)))))))))))))</f>
        <v/>
      </c>
      <c r="F42" s="393" t="s">
        <v>2</v>
      </c>
      <c r="G42" s="394"/>
      <c r="H42" s="395"/>
    </row>
    <row r="43" spans="1:8" ht="30.25" customHeight="1" x14ac:dyDescent="0.35">
      <c r="A43" s="16" t="s">
        <v>56</v>
      </c>
      <c r="B43" s="225" t="str">
        <f>IF('STEP 2-WQv Calculation'!$B$4="","",'STEP 2-WQv Calculation'!$B$4)</f>
        <v/>
      </c>
      <c r="C43" s="146"/>
      <c r="D43" s="146"/>
      <c r="E43" s="146"/>
      <c r="F43" s="146"/>
      <c r="G43" s="146"/>
      <c r="H43" s="146"/>
    </row>
    <row r="44" spans="1:8" ht="13" x14ac:dyDescent="0.35">
      <c r="A44" s="309" t="s">
        <v>293</v>
      </c>
      <c r="B44" s="309"/>
      <c r="C44" s="309"/>
      <c r="D44" s="309"/>
      <c r="E44" s="309"/>
      <c r="F44" s="309"/>
      <c r="G44" s="309"/>
      <c r="H44" s="309"/>
    </row>
    <row r="45" spans="1:8" ht="39" x14ac:dyDescent="0.35">
      <c r="A45" s="204" t="s">
        <v>60</v>
      </c>
      <c r="B45" s="205" t="s">
        <v>61</v>
      </c>
      <c r="C45" s="205" t="s">
        <v>62</v>
      </c>
      <c r="D45" s="205" t="s">
        <v>420</v>
      </c>
      <c r="E45" s="205" t="s">
        <v>64</v>
      </c>
      <c r="F45" s="205" t="s">
        <v>65</v>
      </c>
      <c r="G45" s="205" t="s">
        <v>244</v>
      </c>
      <c r="H45" s="206" t="s">
        <v>13</v>
      </c>
    </row>
    <row r="46" spans="1:8" x14ac:dyDescent="0.35">
      <c r="A46" s="17"/>
      <c r="B46" s="18" t="str">
        <f>IF($A46="","",(LOOKUP($A46,'STEP 2-WQv Calculation'!$A$8:$A$37,'STEP 2-WQv Calculation'!$B$8:$B$37)))</f>
        <v/>
      </c>
      <c r="C46" s="18" t="str">
        <f>IF($A46="","",(LOOKUP($A46,'STEP 2-WQv Calculation'!$A$8:$A$37,'STEP 2-WQv Calculation'!$C$8:$C$37)))</f>
        <v/>
      </c>
      <c r="D46" s="53" t="str">
        <f>IF($A46="","",(LOOKUP($A46,'STEP 2-WQv Calculation'!$A$8:$A$37,'STEP 2-WQv Calculation'!$D$8:$D$37)))</f>
        <v/>
      </c>
      <c r="E46" s="18" t="str">
        <f>IF($A46="","",(LOOKUP($A46,'STEP 2-WQv Calculation'!$A$8:$A$37,'STEP 2-WQv Calculation'!$E$8:$E$37)))</f>
        <v/>
      </c>
      <c r="F46" s="42" t="str">
        <f>IF($A46="","",(LOOKUP($A46,'STEP 2-WQv Calculation'!$A$8:$A$37,'STEP 2-WQv Calculation'!$F$8:$F$37)))</f>
        <v/>
      </c>
      <c r="G46" s="27">
        <f>'STEP 2-WQv Calculation'!B5</f>
        <v>0</v>
      </c>
      <c r="H46" s="29" t="str">
        <f>IF($A46="","",(LOOKUP($A46,'STEP 2-WQv Calculation'!$A$8:$A$37,'STEP 2-WQv Calculation'!$G$8:$G$37)))</f>
        <v/>
      </c>
    </row>
    <row r="47" spans="1:8" ht="18" customHeight="1" x14ac:dyDescent="0.35">
      <c r="A47" s="242" t="s">
        <v>421</v>
      </c>
      <c r="B47" s="243"/>
      <c r="C47" s="244"/>
      <c r="D47" s="364"/>
      <c r="E47" s="365"/>
      <c r="F47" s="365"/>
      <c r="G47" s="365"/>
      <c r="H47" s="366"/>
    </row>
    <row r="48" spans="1:8" ht="13" x14ac:dyDescent="0.3">
      <c r="A48" s="273" t="s">
        <v>226</v>
      </c>
      <c r="B48" s="273"/>
      <c r="C48" s="273"/>
      <c r="D48" s="273"/>
      <c r="E48" s="273"/>
      <c r="F48" s="273"/>
      <c r="G48" s="273"/>
      <c r="H48" s="273"/>
    </row>
    <row r="49" spans="1:8" ht="12.75" customHeight="1" x14ac:dyDescent="0.35">
      <c r="A49" s="242" t="s">
        <v>422</v>
      </c>
      <c r="B49" s="243"/>
      <c r="C49" s="244"/>
      <c r="D49" s="211"/>
      <c r="E49" s="322" t="str">
        <f>IF(AND(D47="Intensive Green Roof",D49&gt;10),"Does not meet design criteria",IF(AND(D47="Extensive Green Roof",D49&gt;25),"Does not meet design criteria",IF(AND(D47="Extensive Green Roof",D49&gt;10),"Strapping and drainage layer stabilization required","")))</f>
        <v/>
      </c>
      <c r="F49" s="323"/>
      <c r="G49" s="323"/>
      <c r="H49" s="324"/>
    </row>
    <row r="50" spans="1:8" ht="28.9" customHeight="1" x14ac:dyDescent="0.35">
      <c r="A50" s="242" t="s">
        <v>423</v>
      </c>
      <c r="B50" s="243"/>
      <c r="C50" s="244"/>
      <c r="D50" s="211"/>
      <c r="E50" s="322" t="str">
        <f>IF(D50="","",IF(D50&lt;6,"Does not meet design criteria",""))</f>
        <v/>
      </c>
      <c r="F50" s="323"/>
      <c r="G50" s="323"/>
      <c r="H50" s="324"/>
    </row>
    <row r="51" spans="1:8" ht="28.9" customHeight="1" x14ac:dyDescent="0.35">
      <c r="A51" s="242" t="s">
        <v>424</v>
      </c>
      <c r="B51" s="243"/>
      <c r="C51" s="244"/>
      <c r="D51" s="211"/>
      <c r="E51" s="322" t="str">
        <f>IF(D51="No","Does not meet design criteria","")</f>
        <v/>
      </c>
      <c r="F51" s="323"/>
      <c r="G51" s="323"/>
      <c r="H51" s="324"/>
    </row>
    <row r="52" spans="1:8" ht="28.9" customHeight="1" x14ac:dyDescent="0.35">
      <c r="A52" s="242" t="s">
        <v>425</v>
      </c>
      <c r="B52" s="243"/>
      <c r="C52" s="244"/>
      <c r="D52" s="211"/>
      <c r="E52" s="322" t="str">
        <f>IF(D52="No","Does not meet design criteria","")</f>
        <v/>
      </c>
      <c r="F52" s="323"/>
      <c r="G52" s="323"/>
      <c r="H52" s="324"/>
    </row>
    <row r="53" spans="1:8" ht="28.9" customHeight="1" x14ac:dyDescent="0.35">
      <c r="A53" s="242" t="s">
        <v>426</v>
      </c>
      <c r="B53" s="243"/>
      <c r="C53" s="244"/>
      <c r="D53" s="211"/>
      <c r="E53" s="322" t="str">
        <f>IF(D53="No","Does not meet design criteria","")</f>
        <v/>
      </c>
      <c r="F53" s="323"/>
      <c r="G53" s="323"/>
      <c r="H53" s="324"/>
    </row>
    <row r="54" spans="1:8" ht="28.9" customHeight="1" x14ac:dyDescent="0.35">
      <c r="A54" s="242" t="s">
        <v>427</v>
      </c>
      <c r="B54" s="243"/>
      <c r="C54" s="244"/>
      <c r="D54" s="211"/>
      <c r="E54" s="322" t="str">
        <f>IF(D54="No","Does not meet design criteria","")</f>
        <v/>
      </c>
      <c r="F54" s="323"/>
      <c r="G54" s="323"/>
      <c r="H54" s="324"/>
    </row>
    <row r="55" spans="1:8" ht="13" x14ac:dyDescent="0.35">
      <c r="A55" s="241" t="s">
        <v>232</v>
      </c>
      <c r="B55" s="241"/>
      <c r="C55" s="241"/>
      <c r="D55" s="241"/>
      <c r="E55" s="241"/>
      <c r="F55" s="241"/>
      <c r="G55" s="241"/>
      <c r="H55" s="241"/>
    </row>
    <row r="56" spans="1:8" x14ac:dyDescent="0.35">
      <c r="A56" s="378"/>
      <c r="B56" s="379"/>
      <c r="C56" s="379"/>
      <c r="D56" s="380"/>
      <c r="E56" s="208" t="s">
        <v>256</v>
      </c>
      <c r="F56" s="38" t="s">
        <v>257</v>
      </c>
      <c r="G56" s="376"/>
      <c r="H56" s="377"/>
    </row>
    <row r="57" spans="1:8" x14ac:dyDescent="0.35">
      <c r="A57" s="245" t="s">
        <v>428</v>
      </c>
      <c r="B57" s="245"/>
      <c r="C57" s="245"/>
      <c r="D57" s="198" t="s">
        <v>429</v>
      </c>
      <c r="E57" s="210"/>
      <c r="F57" s="193" t="s">
        <v>316</v>
      </c>
      <c r="G57" s="344"/>
      <c r="H57" s="344"/>
    </row>
    <row r="58" spans="1:8" x14ac:dyDescent="0.35">
      <c r="A58" s="245" t="s">
        <v>379</v>
      </c>
      <c r="B58" s="245"/>
      <c r="C58" s="245"/>
      <c r="D58" s="198" t="s">
        <v>430</v>
      </c>
      <c r="E58" s="218"/>
      <c r="F58" s="193" t="s">
        <v>264</v>
      </c>
      <c r="G58" s="344" t="str">
        <f>IF(AND(D47="Intensive Green Roof",E58&gt;24),"Does not meet design criteria",IF(AND(D47="Intensive Green Roof",E58&lt;6),"Does not meet design criteria",IF(AND(D47="Extensive Green Roof",E58&gt;6),"Design as Intensive Green Roof",IF(AND(D47="Extensive Green Roof",E58&lt;3),"Does not meet design criteria",""))))</f>
        <v/>
      </c>
      <c r="H58" s="344"/>
    </row>
    <row r="59" spans="1:8" x14ac:dyDescent="0.35">
      <c r="A59" s="245" t="s">
        <v>431</v>
      </c>
      <c r="B59" s="245"/>
      <c r="C59" s="245"/>
      <c r="D59" s="198" t="s">
        <v>432</v>
      </c>
      <c r="E59" s="216"/>
      <c r="F59" s="193" t="s">
        <v>264</v>
      </c>
      <c r="G59" s="344"/>
      <c r="H59" s="344"/>
    </row>
    <row r="60" spans="1:8" ht="12.75" customHeight="1" x14ac:dyDescent="0.35">
      <c r="A60" s="245" t="s">
        <v>433</v>
      </c>
      <c r="B60" s="245"/>
      <c r="C60" s="245"/>
      <c r="D60" s="198" t="s">
        <v>434</v>
      </c>
      <c r="E60" s="216"/>
      <c r="F60" s="193"/>
      <c r="G60" s="344" t="s">
        <v>435</v>
      </c>
      <c r="H60" s="344"/>
    </row>
    <row r="61" spans="1:8" ht="12.75" customHeight="1" x14ac:dyDescent="0.35">
      <c r="A61" s="245" t="s">
        <v>436</v>
      </c>
      <c r="B61" s="245"/>
      <c r="C61" s="245"/>
      <c r="D61" s="198" t="s">
        <v>437</v>
      </c>
      <c r="E61" s="216"/>
      <c r="F61" s="193"/>
      <c r="G61" s="344" t="s">
        <v>435</v>
      </c>
      <c r="H61" s="344"/>
    </row>
    <row r="62" spans="1:8" x14ac:dyDescent="0.35">
      <c r="A62" s="245" t="s">
        <v>438</v>
      </c>
      <c r="B62" s="245"/>
      <c r="C62" s="245"/>
      <c r="D62" s="198" t="s">
        <v>345</v>
      </c>
      <c r="E62" s="52">
        <f>E57*(((E58/12)*E60)+((E59/12)*E61))</f>
        <v>0</v>
      </c>
      <c r="F62" s="193" t="s">
        <v>2</v>
      </c>
      <c r="G62" s="344" t="str">
        <f>IF(E62=0,"",IF(E62&lt;F46,"Does not meet sizing criteria",""))</f>
        <v/>
      </c>
      <c r="H62" s="344"/>
    </row>
    <row r="63" spans="1:8" ht="13" x14ac:dyDescent="0.35">
      <c r="A63" s="391" t="s">
        <v>241</v>
      </c>
      <c r="B63" s="391"/>
      <c r="C63" s="391"/>
      <c r="D63" s="392"/>
      <c r="E63" s="147" t="str">
        <f>IF(A46="","",IF(AND(D47="Intensive Green Roof",D49&gt;10),0,IF(AND(D47="Extensive Green Roof",D49&gt;25),0,IF(D50&lt;6,0,IF(D51="No",0,IF(D52="No",0,IF(D53="No",0,IF(D54="No",0,IF(AND(D47="Intensive Green Roof",E58&gt;24),0,IF(AND(E58&lt;6),0,IF(AND(D47="Extensive Green Roof",E58&gt;6),0,IF(AND(D47="Extensive Green Roof",E58&lt;3),0,IF(E62&lt;F46,0,F46*1)))))))))))))</f>
        <v/>
      </c>
      <c r="F63" s="393" t="s">
        <v>2</v>
      </c>
      <c r="G63" s="394"/>
      <c r="H63" s="395"/>
    </row>
    <row r="64" spans="1:8" ht="13" x14ac:dyDescent="0.35">
      <c r="A64" s="16" t="s">
        <v>56</v>
      </c>
      <c r="B64" s="225" t="str">
        <f>IF('STEP 2-WQv Calculation'!$B$4="","",'STEP 2-WQv Calculation'!$B$4)</f>
        <v/>
      </c>
      <c r="C64" s="146"/>
      <c r="D64" s="146"/>
      <c r="E64" s="146"/>
      <c r="F64" s="146"/>
      <c r="G64" s="146"/>
      <c r="H64" s="146"/>
    </row>
    <row r="65" spans="1:8" ht="13" x14ac:dyDescent="0.35">
      <c r="A65" s="309" t="s">
        <v>293</v>
      </c>
      <c r="B65" s="309"/>
      <c r="C65" s="309"/>
      <c r="D65" s="309"/>
      <c r="E65" s="309"/>
      <c r="F65" s="309"/>
      <c r="G65" s="309"/>
      <c r="H65" s="309"/>
    </row>
    <row r="66" spans="1:8" ht="39" x14ac:dyDescent="0.35">
      <c r="A66" s="204" t="s">
        <v>60</v>
      </c>
      <c r="B66" s="205" t="s">
        <v>61</v>
      </c>
      <c r="C66" s="205" t="s">
        <v>62</v>
      </c>
      <c r="D66" s="205" t="s">
        <v>420</v>
      </c>
      <c r="E66" s="205" t="s">
        <v>64</v>
      </c>
      <c r="F66" s="205" t="s">
        <v>65</v>
      </c>
      <c r="G66" s="205" t="s">
        <v>244</v>
      </c>
      <c r="H66" s="206" t="s">
        <v>13</v>
      </c>
    </row>
    <row r="67" spans="1:8" x14ac:dyDescent="0.35">
      <c r="A67" s="17"/>
      <c r="B67" s="18" t="str">
        <f>IF($A67="","",(LOOKUP($A67,'STEP 2-WQv Calculation'!$A$8:$A$37,'STEP 2-WQv Calculation'!$B$8:$B$37)))</f>
        <v/>
      </c>
      <c r="C67" s="18" t="str">
        <f>IF($A67="","",(LOOKUP($A67,'STEP 2-WQv Calculation'!$A$8:$A$37,'STEP 2-WQv Calculation'!$C$8:$C$37)))</f>
        <v/>
      </c>
      <c r="D67" s="53" t="str">
        <f>IF($A67="","",(LOOKUP($A67,'STEP 2-WQv Calculation'!$A$8:$A$37,'STEP 2-WQv Calculation'!$D$8:$D$37)))</f>
        <v/>
      </c>
      <c r="E67" s="18" t="str">
        <f>IF($A67="","",(LOOKUP($A67,'STEP 2-WQv Calculation'!$A$8:$A$37,'STEP 2-WQv Calculation'!$E$8:$E$37)))</f>
        <v/>
      </c>
      <c r="F67" s="42" t="str">
        <f>IF($A67="","",(LOOKUP($A67,'STEP 2-WQv Calculation'!$A$8:$A$37,'STEP 2-WQv Calculation'!$F$8:$F$37)))</f>
        <v/>
      </c>
      <c r="G67" s="27">
        <f>'STEP 2-WQv Calculation'!B5</f>
        <v>0</v>
      </c>
      <c r="H67" s="29" t="str">
        <f>IF($A67="","",(LOOKUP($A67,'STEP 2-WQv Calculation'!$A$8:$A$37,'STEP 2-WQv Calculation'!$G$8:$G$37)))</f>
        <v/>
      </c>
    </row>
    <row r="68" spans="1:8" ht="18.75" customHeight="1" x14ac:dyDescent="0.35">
      <c r="A68" s="242" t="s">
        <v>421</v>
      </c>
      <c r="B68" s="243"/>
      <c r="C68" s="244"/>
      <c r="D68" s="364"/>
      <c r="E68" s="365"/>
      <c r="F68" s="365"/>
      <c r="G68" s="365"/>
      <c r="H68" s="366"/>
    </row>
    <row r="69" spans="1:8" ht="13" x14ac:dyDescent="0.3">
      <c r="A69" s="273" t="s">
        <v>226</v>
      </c>
      <c r="B69" s="273"/>
      <c r="C69" s="273"/>
      <c r="D69" s="273"/>
      <c r="E69" s="273"/>
      <c r="F69" s="273"/>
      <c r="G69" s="273"/>
      <c r="H69" s="273"/>
    </row>
    <row r="70" spans="1:8" ht="12.75" customHeight="1" x14ac:dyDescent="0.35">
      <c r="A70" s="242" t="s">
        <v>422</v>
      </c>
      <c r="B70" s="243"/>
      <c r="C70" s="244"/>
      <c r="D70" s="211"/>
      <c r="E70" s="322" t="str">
        <f>IF(AND(D68="Intensive Green Roof",D70&gt;10),"Does not meet design criteria",IF(AND(D68="Extensive Green Roof",D70&gt;25),"Does not meet design criteria",IF(AND(D68="Extensive Green Roof",D70&gt;10),"Strapping and drainage layer stabilization required","")))</f>
        <v/>
      </c>
      <c r="F70" s="323"/>
      <c r="G70" s="323"/>
      <c r="H70" s="324"/>
    </row>
    <row r="71" spans="1:8" ht="28.9" customHeight="1" x14ac:dyDescent="0.35">
      <c r="A71" s="242" t="s">
        <v>423</v>
      </c>
      <c r="B71" s="243"/>
      <c r="C71" s="244"/>
      <c r="D71" s="211"/>
      <c r="E71" s="322" t="str">
        <f>IF(D71="","",IF(D71&lt;6,"Does not meet design criteria",""))</f>
        <v/>
      </c>
      <c r="F71" s="323"/>
      <c r="G71" s="323"/>
      <c r="H71" s="324"/>
    </row>
    <row r="72" spans="1:8" ht="28.9" customHeight="1" x14ac:dyDescent="0.35">
      <c r="A72" s="242" t="s">
        <v>424</v>
      </c>
      <c r="B72" s="243"/>
      <c r="C72" s="244"/>
      <c r="D72" s="211"/>
      <c r="E72" s="322" t="str">
        <f>IF(D72="No","Does not meet design criteria","")</f>
        <v/>
      </c>
      <c r="F72" s="323"/>
      <c r="G72" s="323"/>
      <c r="H72" s="324"/>
    </row>
    <row r="73" spans="1:8" ht="28.9" customHeight="1" x14ac:dyDescent="0.35">
      <c r="A73" s="242" t="s">
        <v>425</v>
      </c>
      <c r="B73" s="243"/>
      <c r="C73" s="244"/>
      <c r="D73" s="211"/>
      <c r="E73" s="322" t="str">
        <f>IF(D73="No","Does not meet design criteria","")</f>
        <v/>
      </c>
      <c r="F73" s="323"/>
      <c r="G73" s="323"/>
      <c r="H73" s="324"/>
    </row>
    <row r="74" spans="1:8" ht="28.9" customHeight="1" x14ac:dyDescent="0.35">
      <c r="A74" s="242" t="s">
        <v>426</v>
      </c>
      <c r="B74" s="243"/>
      <c r="C74" s="244"/>
      <c r="D74" s="211"/>
      <c r="E74" s="322" t="str">
        <f>IF(D74="No","Does not meet design criteria","")</f>
        <v/>
      </c>
      <c r="F74" s="323"/>
      <c r="G74" s="323"/>
      <c r="H74" s="324"/>
    </row>
    <row r="75" spans="1:8" ht="28.9" customHeight="1" x14ac:dyDescent="0.35">
      <c r="A75" s="242" t="s">
        <v>427</v>
      </c>
      <c r="B75" s="243"/>
      <c r="C75" s="244"/>
      <c r="D75" s="211"/>
      <c r="E75" s="322" t="str">
        <f>IF(D75="No","Does not meet design criteria","")</f>
        <v/>
      </c>
      <c r="F75" s="323"/>
      <c r="G75" s="323"/>
      <c r="H75" s="324"/>
    </row>
    <row r="76" spans="1:8" ht="13" x14ac:dyDescent="0.35">
      <c r="A76" s="241" t="s">
        <v>232</v>
      </c>
      <c r="B76" s="241"/>
      <c r="C76" s="241"/>
      <c r="D76" s="241"/>
      <c r="E76" s="241"/>
      <c r="F76" s="241"/>
      <c r="G76" s="241"/>
      <c r="H76" s="241"/>
    </row>
    <row r="77" spans="1:8" x14ac:dyDescent="0.35">
      <c r="A77" s="378"/>
      <c r="B77" s="379"/>
      <c r="C77" s="379"/>
      <c r="D77" s="380"/>
      <c r="E77" s="208" t="s">
        <v>256</v>
      </c>
      <c r="F77" s="38" t="s">
        <v>257</v>
      </c>
      <c r="G77" s="376"/>
      <c r="H77" s="377"/>
    </row>
    <row r="78" spans="1:8" x14ac:dyDescent="0.35">
      <c r="A78" s="245" t="s">
        <v>428</v>
      </c>
      <c r="B78" s="245"/>
      <c r="C78" s="245"/>
      <c r="D78" s="198" t="s">
        <v>429</v>
      </c>
      <c r="E78" s="210"/>
      <c r="F78" s="193" t="s">
        <v>316</v>
      </c>
      <c r="G78" s="344"/>
      <c r="H78" s="344"/>
    </row>
    <row r="79" spans="1:8" x14ac:dyDescent="0.35">
      <c r="A79" s="245" t="s">
        <v>379</v>
      </c>
      <c r="B79" s="245"/>
      <c r="C79" s="245"/>
      <c r="D79" s="198" t="s">
        <v>430</v>
      </c>
      <c r="E79" s="218"/>
      <c r="F79" s="193" t="s">
        <v>264</v>
      </c>
      <c r="G79" s="344" t="str">
        <f>IF(AND(D68="Intensive Green Roof",E79&gt;24),"Does not meet design criteria",IF(AND(D68="Intensive Green Roof",E79&lt;6),"Does not meet design criteria",IF(AND(D68="Extensive Green Roof",E79&gt;6),"Design as Intensive Green Roof",IF(AND(D68="Extensive Green Roof",E79&lt;3),"Does not meet design criteria",""))))</f>
        <v/>
      </c>
      <c r="H79" s="344"/>
    </row>
    <row r="80" spans="1:8" ht="15" customHeight="1" x14ac:dyDescent="0.35">
      <c r="A80" s="245" t="s">
        <v>431</v>
      </c>
      <c r="B80" s="245"/>
      <c r="C80" s="245"/>
      <c r="D80" s="198" t="s">
        <v>432</v>
      </c>
      <c r="E80" s="216"/>
      <c r="F80" s="193" t="s">
        <v>264</v>
      </c>
      <c r="G80" s="344"/>
      <c r="H80" s="344"/>
    </row>
    <row r="81" spans="1:8" ht="12.75" customHeight="1" x14ac:dyDescent="0.35">
      <c r="A81" s="245" t="s">
        <v>433</v>
      </c>
      <c r="B81" s="245"/>
      <c r="C81" s="245"/>
      <c r="D81" s="198" t="s">
        <v>434</v>
      </c>
      <c r="E81" s="216"/>
      <c r="F81" s="193"/>
      <c r="G81" s="344" t="s">
        <v>435</v>
      </c>
      <c r="H81" s="344"/>
    </row>
    <row r="82" spans="1:8" ht="12.75" customHeight="1" x14ac:dyDescent="0.35">
      <c r="A82" s="245" t="s">
        <v>436</v>
      </c>
      <c r="B82" s="245"/>
      <c r="C82" s="245"/>
      <c r="D82" s="198" t="s">
        <v>437</v>
      </c>
      <c r="E82" s="216"/>
      <c r="F82" s="193"/>
      <c r="G82" s="344" t="s">
        <v>435</v>
      </c>
      <c r="H82" s="344"/>
    </row>
    <row r="83" spans="1:8" x14ac:dyDescent="0.35">
      <c r="A83" s="245" t="s">
        <v>438</v>
      </c>
      <c r="B83" s="245"/>
      <c r="C83" s="245"/>
      <c r="D83" s="198" t="s">
        <v>345</v>
      </c>
      <c r="E83" s="52">
        <f>E78*(((E79/12)*E81)+((E80/12)*E82))</f>
        <v>0</v>
      </c>
      <c r="F83" s="193" t="s">
        <v>2</v>
      </c>
      <c r="G83" s="344" t="str">
        <f>IF(E83=0,"",IF(E83&lt;F67,"Does not meet sizing criteria",""))</f>
        <v/>
      </c>
      <c r="H83" s="344"/>
    </row>
    <row r="84" spans="1:8" ht="13" x14ac:dyDescent="0.35">
      <c r="A84" s="391" t="s">
        <v>241</v>
      </c>
      <c r="B84" s="391"/>
      <c r="C84" s="391"/>
      <c r="D84" s="392"/>
      <c r="E84" s="147" t="str">
        <f>IF(A67="","",IF(AND(D68="Intensive Green Roof",D70&gt;10),0,IF(AND(D68="Extensive Green Roof",D70&gt;25),0,IF(D71&lt;6,0,IF(D72="No",0,IF(D73="No",0,IF(D74="No",0,IF(D75="No",0,IF(AND(D68="Intensive Green Roof",E79&gt;24),0,IF(AND(E79&lt;6),0,IF(AND(D68="Extensive Green Roof",E79&gt;6),0,IF(AND(D68="Extensive Green Roof",E79&lt;3),0,IF(E83&lt;F67,0,F67*1)))))))))))))</f>
        <v/>
      </c>
      <c r="F84" s="393" t="s">
        <v>2</v>
      </c>
      <c r="G84" s="394"/>
      <c r="H84" s="395"/>
    </row>
    <row r="85" spans="1:8" ht="13" x14ac:dyDescent="0.35">
      <c r="A85" s="16" t="s">
        <v>56</v>
      </c>
      <c r="B85" s="225" t="str">
        <f>IF('STEP 2-WQv Calculation'!$B$4="","",'STEP 2-WQv Calculation'!$B$4)</f>
        <v/>
      </c>
      <c r="C85" s="146"/>
      <c r="D85" s="146"/>
      <c r="E85" s="146"/>
      <c r="F85" s="146"/>
      <c r="G85" s="146"/>
      <c r="H85" s="146"/>
    </row>
    <row r="86" spans="1:8" ht="13" x14ac:dyDescent="0.35">
      <c r="A86" s="309" t="s">
        <v>293</v>
      </c>
      <c r="B86" s="309"/>
      <c r="C86" s="309"/>
      <c r="D86" s="309"/>
      <c r="E86" s="309"/>
      <c r="F86" s="309"/>
      <c r="G86" s="309"/>
      <c r="H86" s="309"/>
    </row>
    <row r="87" spans="1:8" ht="39" x14ac:dyDescent="0.35">
      <c r="A87" s="204" t="s">
        <v>60</v>
      </c>
      <c r="B87" s="205" t="s">
        <v>61</v>
      </c>
      <c r="C87" s="205" t="s">
        <v>62</v>
      </c>
      <c r="D87" s="205" t="s">
        <v>420</v>
      </c>
      <c r="E87" s="205" t="s">
        <v>64</v>
      </c>
      <c r="F87" s="205" t="s">
        <v>65</v>
      </c>
      <c r="G87" s="205" t="s">
        <v>244</v>
      </c>
      <c r="H87" s="206" t="s">
        <v>13</v>
      </c>
    </row>
    <row r="88" spans="1:8" x14ac:dyDescent="0.35">
      <c r="A88" s="17"/>
      <c r="B88" s="18" t="str">
        <f>IF($A88="","",(LOOKUP($A88,'STEP 2-WQv Calculation'!$A$8:$A$37,'STEP 2-WQv Calculation'!$B$8:$B$37)))</f>
        <v/>
      </c>
      <c r="C88" s="18" t="str">
        <f>IF($A88="","",(LOOKUP($A88,'STEP 2-WQv Calculation'!$A$8:$A$37,'STEP 2-WQv Calculation'!$C$8:$C$37)))</f>
        <v/>
      </c>
      <c r="D88" s="53" t="str">
        <f>IF($A88="","",(LOOKUP($A88,'STEP 2-WQv Calculation'!$A$8:$A$37,'STEP 2-WQv Calculation'!$D$8:$D$37)))</f>
        <v/>
      </c>
      <c r="E88" s="18" t="str">
        <f>IF($A88="","",(LOOKUP($A88,'STEP 2-WQv Calculation'!$A$8:$A$37,'STEP 2-WQv Calculation'!$E$8:$E$37)))</f>
        <v/>
      </c>
      <c r="F88" s="42" t="str">
        <f>IF($A88="","",(LOOKUP($A88,'STEP 2-WQv Calculation'!$A$8:$A$37,'STEP 2-WQv Calculation'!$F$8:$F$37)))</f>
        <v/>
      </c>
      <c r="G88" s="27">
        <f>'STEP 2-WQv Calculation'!B5</f>
        <v>0</v>
      </c>
      <c r="H88" s="29" t="str">
        <f>IF($A88="","",(LOOKUP($A88,'STEP 2-WQv Calculation'!$A$8:$A$37,'STEP 2-WQv Calculation'!$G$8:$G$37)))</f>
        <v/>
      </c>
    </row>
    <row r="89" spans="1:8" ht="21" customHeight="1" x14ac:dyDescent="0.35">
      <c r="A89" s="242" t="s">
        <v>421</v>
      </c>
      <c r="B89" s="243"/>
      <c r="C89" s="244"/>
      <c r="D89" s="364"/>
      <c r="E89" s="365"/>
      <c r="F89" s="365"/>
      <c r="G89" s="365"/>
      <c r="H89" s="366"/>
    </row>
    <row r="90" spans="1:8" ht="13" x14ac:dyDescent="0.3">
      <c r="A90" s="273" t="s">
        <v>226</v>
      </c>
      <c r="B90" s="273"/>
      <c r="C90" s="273"/>
      <c r="D90" s="273"/>
      <c r="E90" s="273"/>
      <c r="F90" s="273"/>
      <c r="G90" s="273"/>
      <c r="H90" s="273"/>
    </row>
    <row r="91" spans="1:8" ht="12.75" customHeight="1" x14ac:dyDescent="0.35">
      <c r="A91" s="242" t="s">
        <v>422</v>
      </c>
      <c r="B91" s="243"/>
      <c r="C91" s="244"/>
      <c r="D91" s="211"/>
      <c r="E91" s="322" t="str">
        <f>IF(AND(D89="Intensive Green Roof",D91&gt;10),"Does not meet design criteria",IF(AND(D89="Extensive Green Roof",D91&gt;25),"Does not meet design criteria",IF(AND(D89="Extensive Green Roof",D91&gt;10),"Strapping and drainage layer stabilization required","")))</f>
        <v/>
      </c>
      <c r="F91" s="323"/>
      <c r="G91" s="323"/>
      <c r="H91" s="324"/>
    </row>
    <row r="92" spans="1:8" ht="28.9" customHeight="1" x14ac:dyDescent="0.35">
      <c r="A92" s="242" t="s">
        <v>423</v>
      </c>
      <c r="B92" s="243"/>
      <c r="C92" s="244"/>
      <c r="D92" s="211"/>
      <c r="E92" s="322" t="str">
        <f>IF(D92="","",IF(D92&lt;6,"Does not meet design criteria",""))</f>
        <v/>
      </c>
      <c r="F92" s="323"/>
      <c r="G92" s="323"/>
      <c r="H92" s="324"/>
    </row>
    <row r="93" spans="1:8" ht="28.9" customHeight="1" x14ac:dyDescent="0.35">
      <c r="A93" s="242" t="s">
        <v>424</v>
      </c>
      <c r="B93" s="243"/>
      <c r="C93" s="244"/>
      <c r="D93" s="211"/>
      <c r="E93" s="322" t="str">
        <f>IF(D93="No","Does not meet design criteria","")</f>
        <v/>
      </c>
      <c r="F93" s="323"/>
      <c r="G93" s="323"/>
      <c r="H93" s="324"/>
    </row>
    <row r="94" spans="1:8" ht="28.9" customHeight="1" x14ac:dyDescent="0.35">
      <c r="A94" s="242" t="s">
        <v>425</v>
      </c>
      <c r="B94" s="243"/>
      <c r="C94" s="244"/>
      <c r="D94" s="211"/>
      <c r="E94" s="322" t="str">
        <f>IF(D94="No","Does not meet design criteria","")</f>
        <v/>
      </c>
      <c r="F94" s="323"/>
      <c r="G94" s="323"/>
      <c r="H94" s="324"/>
    </row>
    <row r="95" spans="1:8" ht="28.9" customHeight="1" x14ac:dyDescent="0.35">
      <c r="A95" s="242" t="s">
        <v>426</v>
      </c>
      <c r="B95" s="243"/>
      <c r="C95" s="244"/>
      <c r="D95" s="211"/>
      <c r="E95" s="322" t="str">
        <f>IF(D95="No","Does not meet design criteria","")</f>
        <v/>
      </c>
      <c r="F95" s="323"/>
      <c r="G95" s="323"/>
      <c r="H95" s="324"/>
    </row>
    <row r="96" spans="1:8" ht="28.9" customHeight="1" x14ac:dyDescent="0.35">
      <c r="A96" s="242" t="s">
        <v>427</v>
      </c>
      <c r="B96" s="243"/>
      <c r="C96" s="244"/>
      <c r="D96" s="211"/>
      <c r="E96" s="322" t="str">
        <f>IF(D96="No","Does not meet design criteria","")</f>
        <v/>
      </c>
      <c r="F96" s="323"/>
      <c r="G96" s="323"/>
      <c r="H96" s="324"/>
    </row>
    <row r="97" spans="1:8" ht="13" x14ac:dyDescent="0.35">
      <c r="A97" s="241" t="s">
        <v>232</v>
      </c>
      <c r="B97" s="241"/>
      <c r="C97" s="241"/>
      <c r="D97" s="241"/>
      <c r="E97" s="241"/>
      <c r="F97" s="241"/>
      <c r="G97" s="241"/>
      <c r="H97" s="241"/>
    </row>
    <row r="98" spans="1:8" x14ac:dyDescent="0.35">
      <c r="A98" s="378"/>
      <c r="B98" s="379"/>
      <c r="C98" s="379"/>
      <c r="D98" s="380"/>
      <c r="E98" s="208" t="s">
        <v>256</v>
      </c>
      <c r="F98" s="38" t="s">
        <v>257</v>
      </c>
      <c r="G98" s="376"/>
      <c r="H98" s="377"/>
    </row>
    <row r="99" spans="1:8" x14ac:dyDescent="0.35">
      <c r="A99" s="245" t="s">
        <v>428</v>
      </c>
      <c r="B99" s="245"/>
      <c r="C99" s="245"/>
      <c r="D99" s="198" t="s">
        <v>429</v>
      </c>
      <c r="E99" s="210"/>
      <c r="F99" s="193" t="s">
        <v>316</v>
      </c>
      <c r="G99" s="344"/>
      <c r="H99" s="344"/>
    </row>
    <row r="100" spans="1:8" x14ac:dyDescent="0.35">
      <c r="A100" s="245" t="s">
        <v>379</v>
      </c>
      <c r="B100" s="245"/>
      <c r="C100" s="245"/>
      <c r="D100" s="198" t="s">
        <v>430</v>
      </c>
      <c r="E100" s="218"/>
      <c r="F100" s="193" t="s">
        <v>264</v>
      </c>
      <c r="G100" s="344" t="str">
        <f>IF(AND(D89="Intensive Green Roof",E100&gt;24),"Does not meet design criteria",IF(AND(D89="Intensive Green Roof",E100&lt;6),"Does not meet design criteria",IF(AND(D89="Extensive Green Roof",E100&gt;6),"Design as Intensive Green Roof",IF(AND(D89="Extensive Green Roof",E100&lt;3),"Does not meet design criteria",""))))</f>
        <v/>
      </c>
      <c r="H100" s="344"/>
    </row>
    <row r="101" spans="1:8" x14ac:dyDescent="0.35">
      <c r="A101" s="245" t="s">
        <v>431</v>
      </c>
      <c r="B101" s="245"/>
      <c r="C101" s="245"/>
      <c r="D101" s="198" t="s">
        <v>432</v>
      </c>
      <c r="E101" s="216"/>
      <c r="F101" s="193" t="s">
        <v>264</v>
      </c>
      <c r="G101" s="344"/>
      <c r="H101" s="344"/>
    </row>
    <row r="102" spans="1:8" ht="12.75" customHeight="1" x14ac:dyDescent="0.35">
      <c r="A102" s="245" t="s">
        <v>433</v>
      </c>
      <c r="B102" s="245"/>
      <c r="C102" s="245"/>
      <c r="D102" s="198" t="s">
        <v>434</v>
      </c>
      <c r="E102" s="216"/>
      <c r="F102" s="193"/>
      <c r="G102" s="344" t="s">
        <v>435</v>
      </c>
      <c r="H102" s="344"/>
    </row>
    <row r="103" spans="1:8" ht="12.75" customHeight="1" x14ac:dyDescent="0.35">
      <c r="A103" s="245" t="s">
        <v>436</v>
      </c>
      <c r="B103" s="245"/>
      <c r="C103" s="245"/>
      <c r="D103" s="198" t="s">
        <v>437</v>
      </c>
      <c r="E103" s="216"/>
      <c r="F103" s="193"/>
      <c r="G103" s="344" t="s">
        <v>435</v>
      </c>
      <c r="H103" s="344"/>
    </row>
    <row r="104" spans="1:8" x14ac:dyDescent="0.35">
      <c r="A104" s="245" t="s">
        <v>438</v>
      </c>
      <c r="B104" s="245"/>
      <c r="C104" s="245"/>
      <c r="D104" s="198" t="s">
        <v>345</v>
      </c>
      <c r="E104" s="52">
        <f>E99*(((E100/12)*E102)+((E101/12)*E103))</f>
        <v>0</v>
      </c>
      <c r="F104" s="193" t="s">
        <v>2</v>
      </c>
      <c r="G104" s="344" t="str">
        <f>IF(E104=0,"",IF(E104&lt;F88,"Does not meet sizing criteria",""))</f>
        <v/>
      </c>
      <c r="H104" s="344"/>
    </row>
    <row r="105" spans="1:8" ht="13" x14ac:dyDescent="0.35">
      <c r="A105" s="391" t="s">
        <v>241</v>
      </c>
      <c r="B105" s="391"/>
      <c r="C105" s="391"/>
      <c r="D105" s="392"/>
      <c r="E105" s="147" t="str">
        <f>IF(A88="","",IF(AND(D89="Intensive Green Roof",D91&gt;10),0,IF(AND(D89="Extensive Green Roof",D91&gt;25),0,IF(D92&lt;6,0,IF(D93="No",0,IF(D94="No",0,IF(D95="No",0,IF(D96="No",0,IF(AND(D89="Intensive Green Roof",E100&gt;24),0,IF(AND(E100&lt;6),0,IF(AND(D89="Extensive Green Roof",E100&gt;6),0,IF(AND(D89="Extensive Green Roof",E100&lt;3),0,IF(E104&lt;F88,0,F88*1)))))))))))))</f>
        <v/>
      </c>
      <c r="F105" s="393" t="s">
        <v>2</v>
      </c>
      <c r="G105" s="394"/>
      <c r="H105" s="395"/>
    </row>
    <row r="106" spans="1:8" ht="13" x14ac:dyDescent="0.35">
      <c r="A106" s="16" t="s">
        <v>56</v>
      </c>
      <c r="B106" s="225" t="str">
        <f>IF('STEP 2-WQv Calculation'!$B$4="","",'STEP 2-WQv Calculation'!$B$4)</f>
        <v/>
      </c>
      <c r="C106" s="146"/>
      <c r="D106" s="146"/>
      <c r="E106" s="146"/>
      <c r="F106" s="146"/>
      <c r="G106" s="146"/>
      <c r="H106" s="146"/>
    </row>
    <row r="107" spans="1:8" ht="13" x14ac:dyDescent="0.35">
      <c r="A107" s="309" t="s">
        <v>293</v>
      </c>
      <c r="B107" s="309"/>
      <c r="C107" s="309"/>
      <c r="D107" s="309"/>
      <c r="E107" s="309"/>
      <c r="F107" s="309"/>
      <c r="G107" s="309"/>
      <c r="H107" s="309"/>
    </row>
    <row r="108" spans="1:8" ht="39" x14ac:dyDescent="0.35">
      <c r="A108" s="204" t="s">
        <v>60</v>
      </c>
      <c r="B108" s="205" t="s">
        <v>61</v>
      </c>
      <c r="C108" s="205" t="s">
        <v>62</v>
      </c>
      <c r="D108" s="205" t="s">
        <v>420</v>
      </c>
      <c r="E108" s="205" t="s">
        <v>64</v>
      </c>
      <c r="F108" s="205" t="s">
        <v>65</v>
      </c>
      <c r="G108" s="205" t="s">
        <v>244</v>
      </c>
      <c r="H108" s="206" t="s">
        <v>13</v>
      </c>
    </row>
    <row r="109" spans="1:8" x14ac:dyDescent="0.35">
      <c r="A109" s="17"/>
      <c r="B109" s="18" t="str">
        <f>IF($A109="","",(LOOKUP($A109,'STEP 2-WQv Calculation'!$A$8:$A$37,'STEP 2-WQv Calculation'!$B$8:$B$37)))</f>
        <v/>
      </c>
      <c r="C109" s="18" t="str">
        <f>IF($A109="","",(LOOKUP($A109,'STEP 2-WQv Calculation'!$A$8:$A$37,'STEP 2-WQv Calculation'!$C$8:$C$37)))</f>
        <v/>
      </c>
      <c r="D109" s="53" t="str">
        <f>IF($A109="","",(LOOKUP($A109,'STEP 2-WQv Calculation'!$A$8:$A$37,'STEP 2-WQv Calculation'!$D$8:$D$37)))</f>
        <v/>
      </c>
      <c r="E109" s="18" t="str">
        <f>IF($A109="","",(LOOKUP($A109,'STEP 2-WQv Calculation'!$A$8:$A$37,'STEP 2-WQv Calculation'!$E$8:$E$37)))</f>
        <v/>
      </c>
      <c r="F109" s="42" t="str">
        <f>IF($A109="","",(LOOKUP($A109,'STEP 2-WQv Calculation'!$A$8:$A$37,'STEP 2-WQv Calculation'!$F$8:$F$37)))</f>
        <v/>
      </c>
      <c r="G109" s="27">
        <f>'STEP 2-WQv Calculation'!B26</f>
        <v>0</v>
      </c>
      <c r="H109" s="29" t="str">
        <f>IF($A109="","",(LOOKUP($A109,'STEP 2-WQv Calculation'!$A$8:$A$37,'STEP 2-WQv Calculation'!$G$8:$G$37)))</f>
        <v/>
      </c>
    </row>
    <row r="110" spans="1:8" x14ac:dyDescent="0.35">
      <c r="A110" s="242" t="s">
        <v>421</v>
      </c>
      <c r="B110" s="243"/>
      <c r="C110" s="244"/>
      <c r="D110" s="364"/>
      <c r="E110" s="365"/>
      <c r="F110" s="365"/>
      <c r="G110" s="365"/>
      <c r="H110" s="366"/>
    </row>
    <row r="111" spans="1:8" ht="13" x14ac:dyDescent="0.3">
      <c r="A111" s="273" t="s">
        <v>226</v>
      </c>
      <c r="B111" s="273"/>
      <c r="C111" s="273"/>
      <c r="D111" s="273"/>
      <c r="E111" s="273"/>
      <c r="F111" s="273"/>
      <c r="G111" s="273"/>
      <c r="H111" s="273"/>
    </row>
    <row r="112" spans="1:8" x14ac:dyDescent="0.35">
      <c r="A112" s="242" t="s">
        <v>422</v>
      </c>
      <c r="B112" s="243"/>
      <c r="C112" s="244"/>
      <c r="D112" s="211"/>
      <c r="E112" s="322" t="str">
        <f>IF(AND(D110="Intensive Green Roof",D112&gt;10),"Does not meet design criteria",IF(AND(D110="Extensive Green Roof",D112&gt;25),"Does not meet design criteria",IF(AND(D110="Extensive Green Roof",D112&gt;10),"Strapping and drainage layer stabilization required","")))</f>
        <v/>
      </c>
      <c r="F112" s="323"/>
      <c r="G112" s="323"/>
      <c r="H112" s="324"/>
    </row>
    <row r="113" spans="1:8" x14ac:dyDescent="0.35">
      <c r="A113" s="242" t="s">
        <v>423</v>
      </c>
      <c r="B113" s="243"/>
      <c r="C113" s="244"/>
      <c r="D113" s="211"/>
      <c r="E113" s="322" t="str">
        <f>IF(D113="","",IF(D113&lt;6,"Does not meet design criteria",""))</f>
        <v/>
      </c>
      <c r="F113" s="323"/>
      <c r="G113" s="323"/>
      <c r="H113" s="324"/>
    </row>
    <row r="114" spans="1:8" x14ac:dyDescent="0.35">
      <c r="A114" s="242" t="s">
        <v>424</v>
      </c>
      <c r="B114" s="243"/>
      <c r="C114" s="244"/>
      <c r="D114" s="211"/>
      <c r="E114" s="322" t="str">
        <f>IF(D114="No","Does not meet design criteria","")</f>
        <v/>
      </c>
      <c r="F114" s="323"/>
      <c r="G114" s="323"/>
      <c r="H114" s="324"/>
    </row>
    <row r="115" spans="1:8" x14ac:dyDescent="0.35">
      <c r="A115" s="242" t="s">
        <v>425</v>
      </c>
      <c r="B115" s="243"/>
      <c r="C115" s="244"/>
      <c r="D115" s="211"/>
      <c r="E115" s="322" t="str">
        <f>IF(D115="No","Does not meet design criteria","")</f>
        <v/>
      </c>
      <c r="F115" s="323"/>
      <c r="G115" s="323"/>
      <c r="H115" s="324"/>
    </row>
    <row r="116" spans="1:8" x14ac:dyDescent="0.35">
      <c r="A116" s="242" t="s">
        <v>426</v>
      </c>
      <c r="B116" s="243"/>
      <c r="C116" s="244"/>
      <c r="D116" s="211"/>
      <c r="E116" s="322" t="str">
        <f>IF(D116="No","Does not meet design criteria","")</f>
        <v/>
      </c>
      <c r="F116" s="323"/>
      <c r="G116" s="323"/>
      <c r="H116" s="324"/>
    </row>
    <row r="117" spans="1:8" ht="15" customHeight="1" x14ac:dyDescent="0.35">
      <c r="A117" s="242" t="s">
        <v>427</v>
      </c>
      <c r="B117" s="243"/>
      <c r="C117" s="244"/>
      <c r="D117" s="211"/>
      <c r="E117" s="322" t="str">
        <f>IF(D117="No","Does not meet design criteria","")</f>
        <v/>
      </c>
      <c r="F117" s="323"/>
      <c r="G117" s="323"/>
      <c r="H117" s="324"/>
    </row>
    <row r="118" spans="1:8" ht="13" x14ac:dyDescent="0.35">
      <c r="A118" s="241" t="s">
        <v>232</v>
      </c>
      <c r="B118" s="241"/>
      <c r="C118" s="241"/>
      <c r="D118" s="241"/>
      <c r="E118" s="241"/>
      <c r="F118" s="241"/>
      <c r="G118" s="241"/>
      <c r="H118" s="241"/>
    </row>
    <row r="119" spans="1:8" ht="30.25" customHeight="1" x14ac:dyDescent="0.35">
      <c r="A119" s="378"/>
      <c r="B119" s="379"/>
      <c r="C119" s="379"/>
      <c r="D119" s="380"/>
      <c r="E119" s="208" t="s">
        <v>256</v>
      </c>
      <c r="F119" s="38" t="s">
        <v>257</v>
      </c>
      <c r="G119" s="376"/>
      <c r="H119" s="377"/>
    </row>
    <row r="120" spans="1:8" x14ac:dyDescent="0.35">
      <c r="A120" s="245" t="s">
        <v>428</v>
      </c>
      <c r="B120" s="245"/>
      <c r="C120" s="245"/>
      <c r="D120" s="198" t="s">
        <v>429</v>
      </c>
      <c r="E120" s="210"/>
      <c r="F120" s="193" t="s">
        <v>316</v>
      </c>
      <c r="G120" s="344"/>
      <c r="H120" s="344"/>
    </row>
    <row r="121" spans="1:8" x14ac:dyDescent="0.35">
      <c r="A121" s="245" t="s">
        <v>379</v>
      </c>
      <c r="B121" s="245"/>
      <c r="C121" s="245"/>
      <c r="D121" s="198" t="s">
        <v>430</v>
      </c>
      <c r="E121" s="218"/>
      <c r="F121" s="193" t="s">
        <v>264</v>
      </c>
      <c r="G121" s="344" t="str">
        <f>IF(AND(D110="Intensive Green Roof",E121&gt;24),"Does not meet design criteria",IF(AND(D110="Intensive Green Roof",E121&lt;6),"Does not meet design criteria",IF(AND(D110="Extensive Green Roof",E121&gt;6),"Design as Intensive Green Roof",IF(AND(D110="Extensive Green Roof",E121&lt;3),"Does not meet design criteria",""))))</f>
        <v/>
      </c>
      <c r="H121" s="344"/>
    </row>
    <row r="122" spans="1:8" x14ac:dyDescent="0.35">
      <c r="A122" s="245" t="s">
        <v>431</v>
      </c>
      <c r="B122" s="245"/>
      <c r="C122" s="245"/>
      <c r="D122" s="198" t="s">
        <v>432</v>
      </c>
      <c r="E122" s="216"/>
      <c r="F122" s="193" t="s">
        <v>264</v>
      </c>
      <c r="G122" s="344"/>
      <c r="H122" s="344"/>
    </row>
    <row r="123" spans="1:8" x14ac:dyDescent="0.35">
      <c r="A123" s="245" t="s">
        <v>433</v>
      </c>
      <c r="B123" s="245"/>
      <c r="C123" s="245"/>
      <c r="D123" s="198" t="s">
        <v>434</v>
      </c>
      <c r="E123" s="216"/>
      <c r="F123" s="193"/>
      <c r="G123" s="344" t="s">
        <v>435</v>
      </c>
      <c r="H123" s="344"/>
    </row>
    <row r="124" spans="1:8" x14ac:dyDescent="0.35">
      <c r="A124" s="245" t="s">
        <v>436</v>
      </c>
      <c r="B124" s="245"/>
      <c r="C124" s="245"/>
      <c r="D124" s="198" t="s">
        <v>437</v>
      </c>
      <c r="E124" s="216"/>
      <c r="F124" s="193"/>
      <c r="G124" s="344" t="s">
        <v>435</v>
      </c>
      <c r="H124" s="344"/>
    </row>
    <row r="125" spans="1:8" x14ac:dyDescent="0.35">
      <c r="A125" s="245" t="s">
        <v>438</v>
      </c>
      <c r="B125" s="245"/>
      <c r="C125" s="245"/>
      <c r="D125" s="198" t="s">
        <v>345</v>
      </c>
      <c r="E125" s="52">
        <f>E120*(((E121/12)*E123)+((E122/12)*E124))</f>
        <v>0</v>
      </c>
      <c r="F125" s="193" t="s">
        <v>2</v>
      </c>
      <c r="G125" s="344" t="str">
        <f>IF(E125=0,"",IF(E125&lt;F109,"Does not meet sizing criteria",""))</f>
        <v/>
      </c>
      <c r="H125" s="344"/>
    </row>
    <row r="126" spans="1:8" ht="13" x14ac:dyDescent="0.35">
      <c r="A126" s="391" t="s">
        <v>241</v>
      </c>
      <c r="B126" s="391"/>
      <c r="C126" s="391"/>
      <c r="D126" s="392"/>
      <c r="E126" s="147" t="str">
        <f>IF(A109="","",IF(AND(D110="Intensive Green Roof",D112&gt;10),0,IF(AND(D110="Extensive Green Roof",D112&gt;25),0,IF(D113&lt;6,0,IF(D114="No",0,IF(D115="No",0,IF(D116="No",0,IF(D117="No",0,IF(AND(D110="Intensive Green Roof",E121&gt;24),0,IF(AND(E121&lt;6),0,IF(AND(D110="Extensive Green Roof",E121&gt;6),0,IF(AND(D110="Extensive Green Roof",E121&lt;3),0,IF(E125&lt;F109,0,F109*1)))))))))))))</f>
        <v/>
      </c>
      <c r="F126" s="393" t="s">
        <v>2</v>
      </c>
      <c r="G126" s="394"/>
      <c r="H126" s="395"/>
    </row>
    <row r="127" spans="1:8" ht="13" x14ac:dyDescent="0.35">
      <c r="A127" s="16" t="s">
        <v>56</v>
      </c>
      <c r="B127" s="225" t="str">
        <f>IF('STEP 2-WQv Calculation'!$B$4="","",'STEP 2-WQv Calculation'!$B$4)</f>
        <v/>
      </c>
      <c r="C127" s="146"/>
      <c r="D127" s="146"/>
      <c r="E127" s="146"/>
      <c r="F127" s="146"/>
      <c r="G127" s="146"/>
      <c r="H127" s="146"/>
    </row>
    <row r="128" spans="1:8" ht="13" x14ac:dyDescent="0.35">
      <c r="A128" s="309" t="s">
        <v>293</v>
      </c>
      <c r="B128" s="309"/>
      <c r="C128" s="309"/>
      <c r="D128" s="309"/>
      <c r="E128" s="309"/>
      <c r="F128" s="309"/>
      <c r="G128" s="309"/>
      <c r="H128" s="309"/>
    </row>
    <row r="129" spans="1:8" ht="39" x14ac:dyDescent="0.35">
      <c r="A129" s="204" t="s">
        <v>60</v>
      </c>
      <c r="B129" s="205" t="s">
        <v>61</v>
      </c>
      <c r="C129" s="205" t="s">
        <v>62</v>
      </c>
      <c r="D129" s="205" t="s">
        <v>420</v>
      </c>
      <c r="E129" s="205" t="s">
        <v>64</v>
      </c>
      <c r="F129" s="205" t="s">
        <v>65</v>
      </c>
      <c r="G129" s="205" t="s">
        <v>244</v>
      </c>
      <c r="H129" s="206" t="s">
        <v>13</v>
      </c>
    </row>
    <row r="130" spans="1:8" x14ac:dyDescent="0.35">
      <c r="A130" s="17"/>
      <c r="B130" s="18" t="str">
        <f>IF($A130="","",(LOOKUP($A130,'STEP 2-WQv Calculation'!$A$8:$A$37,'STEP 2-WQv Calculation'!$B$8:$B$37)))</f>
        <v/>
      </c>
      <c r="C130" s="18" t="str">
        <f>IF($A130="","",(LOOKUP($A130,'STEP 2-WQv Calculation'!$A$8:$A$37,'STEP 2-WQv Calculation'!$C$8:$C$37)))</f>
        <v/>
      </c>
      <c r="D130" s="53" t="str">
        <f>IF($A130="","",(LOOKUP($A130,'STEP 2-WQv Calculation'!$A$8:$A$37,'STEP 2-WQv Calculation'!$D$8:$D$37)))</f>
        <v/>
      </c>
      <c r="E130" s="18" t="str">
        <f>IF($A130="","",(LOOKUP($A130,'STEP 2-WQv Calculation'!$A$8:$A$37,'STEP 2-WQv Calculation'!$E$8:$E$37)))</f>
        <v/>
      </c>
      <c r="F130" s="42" t="str">
        <f>IF($A130="","",(LOOKUP($A130,'STEP 2-WQv Calculation'!$A$8:$A$37,'STEP 2-WQv Calculation'!$F$8:$F$37)))</f>
        <v/>
      </c>
      <c r="G130" s="27">
        <f>'STEP 2-WQv Calculation'!B47</f>
        <v>0</v>
      </c>
      <c r="H130" s="29" t="str">
        <f>IF($A130="","",(LOOKUP($A130,'STEP 2-WQv Calculation'!$A$8:$A$37,'STEP 2-WQv Calculation'!$G$8:$G$37)))</f>
        <v/>
      </c>
    </row>
    <row r="131" spans="1:8" x14ac:dyDescent="0.35">
      <c r="A131" s="242" t="s">
        <v>421</v>
      </c>
      <c r="B131" s="243"/>
      <c r="C131" s="244"/>
      <c r="D131" s="364"/>
      <c r="E131" s="365"/>
      <c r="F131" s="365"/>
      <c r="G131" s="365"/>
      <c r="H131" s="366"/>
    </row>
    <row r="132" spans="1:8" ht="13" x14ac:dyDescent="0.3">
      <c r="A132" s="273" t="s">
        <v>226</v>
      </c>
      <c r="B132" s="273"/>
      <c r="C132" s="273"/>
      <c r="D132" s="273"/>
      <c r="E132" s="273"/>
      <c r="F132" s="273"/>
      <c r="G132" s="273"/>
      <c r="H132" s="273"/>
    </row>
    <row r="133" spans="1:8" x14ac:dyDescent="0.35">
      <c r="A133" s="242" t="s">
        <v>422</v>
      </c>
      <c r="B133" s="243"/>
      <c r="C133" s="244"/>
      <c r="D133" s="211"/>
      <c r="E133" s="322" t="str">
        <f>IF(AND(D131="Intensive Green Roof",D133&gt;10),"Does not meet design criteria",IF(AND(D131="Extensive Green Roof",D133&gt;25),"Does not meet design criteria",IF(AND(D131="Extensive Green Roof",D133&gt;10),"Strapping and drainage layer stabilization required","")))</f>
        <v/>
      </c>
      <c r="F133" s="323"/>
      <c r="G133" s="323"/>
      <c r="H133" s="324"/>
    </row>
    <row r="134" spans="1:8" x14ac:dyDescent="0.35">
      <c r="A134" s="242" t="s">
        <v>423</v>
      </c>
      <c r="B134" s="243"/>
      <c r="C134" s="244"/>
      <c r="D134" s="211"/>
      <c r="E134" s="322" t="str">
        <f>IF(D134="","",IF(D134&lt;6,"Does not meet design criteria",""))</f>
        <v/>
      </c>
      <c r="F134" s="323"/>
      <c r="G134" s="323"/>
      <c r="H134" s="324"/>
    </row>
    <row r="135" spans="1:8" x14ac:dyDescent="0.35">
      <c r="A135" s="242" t="s">
        <v>424</v>
      </c>
      <c r="B135" s="243"/>
      <c r="C135" s="244"/>
      <c r="D135" s="211"/>
      <c r="E135" s="322" t="str">
        <f>IF(D135="No","Does not meet design criteria","")</f>
        <v/>
      </c>
      <c r="F135" s="323"/>
      <c r="G135" s="323"/>
      <c r="H135" s="324"/>
    </row>
    <row r="136" spans="1:8" x14ac:dyDescent="0.35">
      <c r="A136" s="242" t="s">
        <v>425</v>
      </c>
      <c r="B136" s="243"/>
      <c r="C136" s="244"/>
      <c r="D136" s="211"/>
      <c r="E136" s="322" t="str">
        <f>IF(D136="No","Does not meet design criteria","")</f>
        <v/>
      </c>
      <c r="F136" s="323"/>
      <c r="G136" s="323"/>
      <c r="H136" s="324"/>
    </row>
    <row r="137" spans="1:8" x14ac:dyDescent="0.35">
      <c r="A137" s="242" t="s">
        <v>426</v>
      </c>
      <c r="B137" s="243"/>
      <c r="C137" s="244"/>
      <c r="D137" s="211"/>
      <c r="E137" s="322" t="str">
        <f>IF(D137="No","Does not meet design criteria","")</f>
        <v/>
      </c>
      <c r="F137" s="323"/>
      <c r="G137" s="323"/>
      <c r="H137" s="324"/>
    </row>
    <row r="138" spans="1:8" x14ac:dyDescent="0.35">
      <c r="A138" s="242" t="s">
        <v>427</v>
      </c>
      <c r="B138" s="243"/>
      <c r="C138" s="244"/>
      <c r="D138" s="211"/>
      <c r="E138" s="322" t="str">
        <f>IF(D138="No","Does not meet design criteria","")</f>
        <v/>
      </c>
      <c r="F138" s="323"/>
      <c r="G138" s="323"/>
      <c r="H138" s="324"/>
    </row>
    <row r="139" spans="1:8" ht="13" x14ac:dyDescent="0.35">
      <c r="A139" s="241" t="s">
        <v>232</v>
      </c>
      <c r="B139" s="241"/>
      <c r="C139" s="241"/>
      <c r="D139" s="241"/>
      <c r="E139" s="241"/>
      <c r="F139" s="241"/>
      <c r="G139" s="241"/>
      <c r="H139" s="241"/>
    </row>
    <row r="140" spans="1:8" x14ac:dyDescent="0.35">
      <c r="A140" s="378"/>
      <c r="B140" s="379"/>
      <c r="C140" s="379"/>
      <c r="D140" s="380"/>
      <c r="E140" s="208" t="s">
        <v>256</v>
      </c>
      <c r="F140" s="38" t="s">
        <v>257</v>
      </c>
      <c r="G140" s="376"/>
      <c r="H140" s="377"/>
    </row>
    <row r="141" spans="1:8" x14ac:dyDescent="0.35">
      <c r="A141" s="245" t="s">
        <v>428</v>
      </c>
      <c r="B141" s="245"/>
      <c r="C141" s="245"/>
      <c r="D141" s="198" t="s">
        <v>429</v>
      </c>
      <c r="E141" s="210"/>
      <c r="F141" s="193" t="s">
        <v>316</v>
      </c>
      <c r="G141" s="344"/>
      <c r="H141" s="344"/>
    </row>
    <row r="142" spans="1:8" x14ac:dyDescent="0.35">
      <c r="A142" s="245" t="s">
        <v>379</v>
      </c>
      <c r="B142" s="245"/>
      <c r="C142" s="245"/>
      <c r="D142" s="198" t="s">
        <v>430</v>
      </c>
      <c r="E142" s="218"/>
      <c r="F142" s="193" t="s">
        <v>264</v>
      </c>
      <c r="G142" s="344" t="str">
        <f>IF(AND(D131="Intensive Green Roof",E142&gt;24),"Does not meet design criteria",IF(AND(D131="Intensive Green Roof",E142&lt;6),"Does not meet design criteria",IF(AND(D131="Extensive Green Roof",E142&gt;6),"Design as Intensive Green Roof",IF(AND(D131="Extensive Green Roof",E142&lt;3),"Does not meet design criteria",""))))</f>
        <v/>
      </c>
      <c r="H142" s="344"/>
    </row>
    <row r="143" spans="1:8" x14ac:dyDescent="0.35">
      <c r="A143" s="245" t="s">
        <v>431</v>
      </c>
      <c r="B143" s="245"/>
      <c r="C143" s="245"/>
      <c r="D143" s="198" t="s">
        <v>432</v>
      </c>
      <c r="E143" s="216"/>
      <c r="F143" s="193" t="s">
        <v>264</v>
      </c>
      <c r="G143" s="344"/>
      <c r="H143" s="344"/>
    </row>
    <row r="144" spans="1:8" x14ac:dyDescent="0.35">
      <c r="A144" s="245" t="s">
        <v>433</v>
      </c>
      <c r="B144" s="245"/>
      <c r="C144" s="245"/>
      <c r="D144" s="198" t="s">
        <v>434</v>
      </c>
      <c r="E144" s="216"/>
      <c r="F144" s="193"/>
      <c r="G144" s="344" t="s">
        <v>435</v>
      </c>
      <c r="H144" s="344"/>
    </row>
    <row r="145" spans="1:8" x14ac:dyDescent="0.35">
      <c r="A145" s="245" t="s">
        <v>436</v>
      </c>
      <c r="B145" s="245"/>
      <c r="C145" s="245"/>
      <c r="D145" s="198" t="s">
        <v>437</v>
      </c>
      <c r="E145" s="216"/>
      <c r="F145" s="193"/>
      <c r="G145" s="344" t="s">
        <v>435</v>
      </c>
      <c r="H145" s="344"/>
    </row>
    <row r="146" spans="1:8" x14ac:dyDescent="0.35">
      <c r="A146" s="245" t="s">
        <v>438</v>
      </c>
      <c r="B146" s="245"/>
      <c r="C146" s="245"/>
      <c r="D146" s="198" t="s">
        <v>345</v>
      </c>
      <c r="E146" s="52">
        <f>E141*(((E142/12)*E144)+((E143/12)*E145))</f>
        <v>0</v>
      </c>
      <c r="F146" s="193" t="s">
        <v>2</v>
      </c>
      <c r="G146" s="344" t="str">
        <f>IF(E146=0,"",IF(E146&lt;F130,"Does not meet sizing criteria",""))</f>
        <v/>
      </c>
      <c r="H146" s="344"/>
    </row>
    <row r="147" spans="1:8" ht="13" x14ac:dyDescent="0.35">
      <c r="A147" s="391" t="s">
        <v>241</v>
      </c>
      <c r="B147" s="391"/>
      <c r="C147" s="391"/>
      <c r="D147" s="392"/>
      <c r="E147" s="147" t="str">
        <f>IF(A130="","",IF(AND(D131="Intensive Green Roof",D133&gt;10),0,IF(AND(D131="Extensive Green Roof",D133&gt;25),0,IF(D134&lt;6,0,IF(D135="No",0,IF(D136="No",0,IF(D137="No",0,IF(D138="No",0,IF(AND(D131="Intensive Green Roof",E142&gt;24),0,IF(AND(E142&lt;6),0,IF(AND(D131="Extensive Green Roof",E142&gt;6),0,IF(AND(D131="Extensive Green Roof",E142&lt;3),0,IF(E146&lt;F130,0,F130*1)))))))))))))</f>
        <v/>
      </c>
      <c r="F147" s="393" t="s">
        <v>2</v>
      </c>
      <c r="G147" s="394"/>
      <c r="H147" s="395"/>
    </row>
    <row r="148" spans="1:8" ht="13" x14ac:dyDescent="0.35">
      <c r="A148" s="16" t="s">
        <v>56</v>
      </c>
      <c r="B148" s="225" t="str">
        <f>IF('STEP 2-WQv Calculation'!$B$4="","",'STEP 2-WQv Calculation'!$B$4)</f>
        <v/>
      </c>
      <c r="C148" s="146"/>
      <c r="D148" s="146"/>
      <c r="E148" s="146"/>
      <c r="F148" s="146"/>
      <c r="G148" s="146"/>
      <c r="H148" s="146"/>
    </row>
    <row r="149" spans="1:8" ht="13" x14ac:dyDescent="0.35">
      <c r="A149" s="309" t="s">
        <v>293</v>
      </c>
      <c r="B149" s="309"/>
      <c r="C149" s="309"/>
      <c r="D149" s="309"/>
      <c r="E149" s="309"/>
      <c r="F149" s="309"/>
      <c r="G149" s="309"/>
      <c r="H149" s="309"/>
    </row>
    <row r="150" spans="1:8" ht="39" x14ac:dyDescent="0.35">
      <c r="A150" s="204" t="s">
        <v>60</v>
      </c>
      <c r="B150" s="205" t="s">
        <v>61</v>
      </c>
      <c r="C150" s="205" t="s">
        <v>62</v>
      </c>
      <c r="D150" s="205" t="s">
        <v>420</v>
      </c>
      <c r="E150" s="205" t="s">
        <v>64</v>
      </c>
      <c r="F150" s="205" t="s">
        <v>65</v>
      </c>
      <c r="G150" s="205" t="s">
        <v>244</v>
      </c>
      <c r="H150" s="206" t="s">
        <v>13</v>
      </c>
    </row>
    <row r="151" spans="1:8" x14ac:dyDescent="0.35">
      <c r="A151" s="17"/>
      <c r="B151" s="18" t="str">
        <f>IF($A151="","",(LOOKUP($A151,'STEP 2-WQv Calculation'!$A$8:$A$37,'STEP 2-WQv Calculation'!$B$8:$B$37)))</f>
        <v/>
      </c>
      <c r="C151" s="18" t="str">
        <f>IF($A151="","",(LOOKUP($A151,'STEP 2-WQv Calculation'!$A$8:$A$37,'STEP 2-WQv Calculation'!$C$8:$C$37)))</f>
        <v/>
      </c>
      <c r="D151" s="53" t="str">
        <f>IF($A151="","",(LOOKUP($A151,'STEP 2-WQv Calculation'!$A$8:$A$37,'STEP 2-WQv Calculation'!$D$8:$D$37)))</f>
        <v/>
      </c>
      <c r="E151" s="18" t="str">
        <f>IF($A151="","",(LOOKUP($A151,'STEP 2-WQv Calculation'!$A$8:$A$37,'STEP 2-WQv Calculation'!$E$8:$E$37)))</f>
        <v/>
      </c>
      <c r="F151" s="42" t="str">
        <f>IF($A151="","",(LOOKUP($A151,'STEP 2-WQv Calculation'!$A$8:$A$37,'STEP 2-WQv Calculation'!$F$8:$F$37)))</f>
        <v/>
      </c>
      <c r="G151" s="27">
        <f>'STEP 2-WQv Calculation'!B68</f>
        <v>0</v>
      </c>
      <c r="H151" s="29" t="str">
        <f>IF($A151="","",(LOOKUP($A151,'STEP 2-WQv Calculation'!$A$8:$A$37,'STEP 2-WQv Calculation'!$G$8:$G$37)))</f>
        <v/>
      </c>
    </row>
    <row r="152" spans="1:8" x14ac:dyDescent="0.35">
      <c r="A152" s="242" t="s">
        <v>421</v>
      </c>
      <c r="B152" s="243"/>
      <c r="C152" s="244"/>
      <c r="D152" s="364"/>
      <c r="E152" s="365"/>
      <c r="F152" s="365"/>
      <c r="G152" s="365"/>
      <c r="H152" s="366"/>
    </row>
    <row r="153" spans="1:8" ht="13" x14ac:dyDescent="0.3">
      <c r="A153" s="273" t="s">
        <v>226</v>
      </c>
      <c r="B153" s="273"/>
      <c r="C153" s="273"/>
      <c r="D153" s="273"/>
      <c r="E153" s="273"/>
      <c r="F153" s="273"/>
      <c r="G153" s="273"/>
      <c r="H153" s="273"/>
    </row>
    <row r="154" spans="1:8" x14ac:dyDescent="0.35">
      <c r="A154" s="242" t="s">
        <v>422</v>
      </c>
      <c r="B154" s="243"/>
      <c r="C154" s="244"/>
      <c r="D154" s="211"/>
      <c r="E154" s="322" t="str">
        <f>IF(AND(D152="Intensive Green Roof",D154&gt;10),"Does not meet design criteria",IF(AND(D152="Extensive Green Roof",D154&gt;25),"Does not meet design criteria",IF(AND(D152="Extensive Green Roof",D154&gt;10),"Strapping and drainage layer stabilization required","")))</f>
        <v/>
      </c>
      <c r="F154" s="323"/>
      <c r="G154" s="323"/>
      <c r="H154" s="324"/>
    </row>
    <row r="155" spans="1:8" x14ac:dyDescent="0.35">
      <c r="A155" s="242" t="s">
        <v>423</v>
      </c>
      <c r="B155" s="243"/>
      <c r="C155" s="244"/>
      <c r="D155" s="211"/>
      <c r="E155" s="322" t="str">
        <f>IF(D155="","",IF(D155&lt;6,"Does not meet design criteria",""))</f>
        <v/>
      </c>
      <c r="F155" s="323"/>
      <c r="G155" s="323"/>
      <c r="H155" s="324"/>
    </row>
    <row r="156" spans="1:8" x14ac:dyDescent="0.35">
      <c r="A156" s="242" t="s">
        <v>424</v>
      </c>
      <c r="B156" s="243"/>
      <c r="C156" s="244"/>
      <c r="D156" s="211"/>
      <c r="E156" s="322" t="str">
        <f>IF(D156="No","Does not meet design criteria","")</f>
        <v/>
      </c>
      <c r="F156" s="323"/>
      <c r="G156" s="323"/>
      <c r="H156" s="324"/>
    </row>
    <row r="157" spans="1:8" x14ac:dyDescent="0.35">
      <c r="A157" s="242" t="s">
        <v>425</v>
      </c>
      <c r="B157" s="243"/>
      <c r="C157" s="244"/>
      <c r="D157" s="211"/>
      <c r="E157" s="322" t="str">
        <f>IF(D157="No","Does not meet design criteria","")</f>
        <v/>
      </c>
      <c r="F157" s="323"/>
      <c r="G157" s="323"/>
      <c r="H157" s="324"/>
    </row>
    <row r="158" spans="1:8" x14ac:dyDescent="0.35">
      <c r="A158" s="242" t="s">
        <v>426</v>
      </c>
      <c r="B158" s="243"/>
      <c r="C158" s="244"/>
      <c r="D158" s="211"/>
      <c r="E158" s="322" t="str">
        <f>IF(D158="No","Does not meet design criteria","")</f>
        <v/>
      </c>
      <c r="F158" s="323"/>
      <c r="G158" s="323"/>
      <c r="H158" s="324"/>
    </row>
    <row r="159" spans="1:8" x14ac:dyDescent="0.35">
      <c r="A159" s="242" t="s">
        <v>427</v>
      </c>
      <c r="B159" s="243"/>
      <c r="C159" s="244"/>
      <c r="D159" s="211"/>
      <c r="E159" s="322" t="str">
        <f>IF(D159="No","Does not meet design criteria","")</f>
        <v/>
      </c>
      <c r="F159" s="323"/>
      <c r="G159" s="323"/>
      <c r="H159" s="324"/>
    </row>
    <row r="160" spans="1:8" ht="13" x14ac:dyDescent="0.35">
      <c r="A160" s="241" t="s">
        <v>232</v>
      </c>
      <c r="B160" s="241"/>
      <c r="C160" s="241"/>
      <c r="D160" s="241"/>
      <c r="E160" s="241"/>
      <c r="F160" s="241"/>
      <c r="G160" s="241"/>
      <c r="H160" s="241"/>
    </row>
    <row r="161" spans="1:8" x14ac:dyDescent="0.35">
      <c r="A161" s="378"/>
      <c r="B161" s="379"/>
      <c r="C161" s="379"/>
      <c r="D161" s="380"/>
      <c r="E161" s="208" t="s">
        <v>256</v>
      </c>
      <c r="F161" s="38" t="s">
        <v>257</v>
      </c>
      <c r="G161" s="376"/>
      <c r="H161" s="377"/>
    </row>
    <row r="162" spans="1:8" x14ac:dyDescent="0.35">
      <c r="A162" s="245" t="s">
        <v>428</v>
      </c>
      <c r="B162" s="245"/>
      <c r="C162" s="245"/>
      <c r="D162" s="198" t="s">
        <v>429</v>
      </c>
      <c r="E162" s="210"/>
      <c r="F162" s="193" t="s">
        <v>316</v>
      </c>
      <c r="G162" s="344"/>
      <c r="H162" s="344"/>
    </row>
    <row r="163" spans="1:8" x14ac:dyDescent="0.35">
      <c r="A163" s="245" t="s">
        <v>379</v>
      </c>
      <c r="B163" s="245"/>
      <c r="C163" s="245"/>
      <c r="D163" s="198" t="s">
        <v>430</v>
      </c>
      <c r="E163" s="218"/>
      <c r="F163" s="193" t="s">
        <v>264</v>
      </c>
      <c r="G163" s="344" t="str">
        <f>IF(AND(D152="Intensive Green Roof",E163&gt;24),"Does not meet design criteria",IF(AND(D152="Intensive Green Roof",E163&lt;6),"Does not meet design criteria",IF(AND(D152="Extensive Green Roof",E163&gt;6),"Design as Intensive Green Roof",IF(AND(D152="Extensive Green Roof",E163&lt;3),"Does not meet design criteria",""))))</f>
        <v/>
      </c>
      <c r="H163" s="344"/>
    </row>
    <row r="164" spans="1:8" x14ac:dyDescent="0.35">
      <c r="A164" s="245" t="s">
        <v>431</v>
      </c>
      <c r="B164" s="245"/>
      <c r="C164" s="245"/>
      <c r="D164" s="198" t="s">
        <v>432</v>
      </c>
      <c r="E164" s="216"/>
      <c r="F164" s="193" t="s">
        <v>264</v>
      </c>
      <c r="G164" s="344"/>
      <c r="H164" s="344"/>
    </row>
    <row r="165" spans="1:8" x14ac:dyDescent="0.35">
      <c r="A165" s="245" t="s">
        <v>433</v>
      </c>
      <c r="B165" s="245"/>
      <c r="C165" s="245"/>
      <c r="D165" s="198" t="s">
        <v>434</v>
      </c>
      <c r="E165" s="216"/>
      <c r="F165" s="193"/>
      <c r="G165" s="344" t="s">
        <v>435</v>
      </c>
      <c r="H165" s="344"/>
    </row>
    <row r="166" spans="1:8" x14ac:dyDescent="0.35">
      <c r="A166" s="245" t="s">
        <v>436</v>
      </c>
      <c r="B166" s="245"/>
      <c r="C166" s="245"/>
      <c r="D166" s="198" t="s">
        <v>437</v>
      </c>
      <c r="E166" s="216"/>
      <c r="F166" s="193"/>
      <c r="G166" s="344" t="s">
        <v>435</v>
      </c>
      <c r="H166" s="344"/>
    </row>
    <row r="167" spans="1:8" x14ac:dyDescent="0.35">
      <c r="A167" s="245" t="s">
        <v>438</v>
      </c>
      <c r="B167" s="245"/>
      <c r="C167" s="245"/>
      <c r="D167" s="198" t="s">
        <v>345</v>
      </c>
      <c r="E167" s="52">
        <f>E162*(((E163/12)*E165)+((E164/12)*E166))</f>
        <v>0</v>
      </c>
      <c r="F167" s="193" t="s">
        <v>2</v>
      </c>
      <c r="G167" s="344" t="str">
        <f>IF(E167=0,"",IF(E167&lt;F151,"Does not meet sizing criteria",""))</f>
        <v/>
      </c>
      <c r="H167" s="344"/>
    </row>
    <row r="168" spans="1:8" ht="13" x14ac:dyDescent="0.35">
      <c r="A168" s="391" t="s">
        <v>241</v>
      </c>
      <c r="B168" s="391"/>
      <c r="C168" s="391"/>
      <c r="D168" s="392"/>
      <c r="E168" s="147" t="str">
        <f>IF(A151="","",IF(AND(D152="Intensive Green Roof",D154&gt;10),0,IF(AND(D152="Extensive Green Roof",D154&gt;25),0,IF(D155&lt;6,0,IF(D156="No",0,IF(D157="No",0,IF(D158="No",0,IF(D159="No",0,IF(AND(D152="Intensive Green Roof",E163&gt;24),0,IF(AND(E163&lt;6),0,IF(AND(D152="Extensive Green Roof",E163&gt;6),0,IF(AND(D152="Extensive Green Roof",E163&lt;3),0,IF(E167&lt;F151,0,F151*1)))))))))))))</f>
        <v/>
      </c>
      <c r="F168" s="393" t="s">
        <v>2</v>
      </c>
      <c r="G168" s="394"/>
      <c r="H168" s="395"/>
    </row>
    <row r="169" spans="1:8" ht="13" x14ac:dyDescent="0.35">
      <c r="A169" s="16" t="s">
        <v>56</v>
      </c>
      <c r="B169" s="225" t="str">
        <f>IF('STEP 2-WQv Calculation'!$B$4="","",'STEP 2-WQv Calculation'!$B$4)</f>
        <v/>
      </c>
      <c r="C169" s="146"/>
      <c r="D169" s="146"/>
      <c r="E169" s="146"/>
      <c r="F169" s="146"/>
      <c r="G169" s="146"/>
      <c r="H169" s="146"/>
    </row>
    <row r="170" spans="1:8" ht="13" x14ac:dyDescent="0.35">
      <c r="A170" s="309" t="s">
        <v>293</v>
      </c>
      <c r="B170" s="309"/>
      <c r="C170" s="309"/>
      <c r="D170" s="309"/>
      <c r="E170" s="309"/>
      <c r="F170" s="309"/>
      <c r="G170" s="309"/>
      <c r="H170" s="309"/>
    </row>
    <row r="171" spans="1:8" ht="39" x14ac:dyDescent="0.35">
      <c r="A171" s="204" t="s">
        <v>60</v>
      </c>
      <c r="B171" s="205" t="s">
        <v>61</v>
      </c>
      <c r="C171" s="205" t="s">
        <v>62</v>
      </c>
      <c r="D171" s="205" t="s">
        <v>420</v>
      </c>
      <c r="E171" s="205" t="s">
        <v>64</v>
      </c>
      <c r="F171" s="205" t="s">
        <v>65</v>
      </c>
      <c r="G171" s="205" t="s">
        <v>244</v>
      </c>
      <c r="H171" s="206" t="s">
        <v>13</v>
      </c>
    </row>
    <row r="172" spans="1:8" x14ac:dyDescent="0.35">
      <c r="A172" s="17"/>
      <c r="B172" s="18" t="str">
        <f>IF($A172="","",(LOOKUP($A172,'STEP 2-WQv Calculation'!$A$8:$A$37,'STEP 2-WQv Calculation'!$B$8:$B$37)))</f>
        <v/>
      </c>
      <c r="C172" s="18" t="str">
        <f>IF($A172="","",(LOOKUP($A172,'STEP 2-WQv Calculation'!$A$8:$A$37,'STEP 2-WQv Calculation'!$C$8:$C$37)))</f>
        <v/>
      </c>
      <c r="D172" s="53" t="str">
        <f>IF($A172="","",(LOOKUP($A172,'STEP 2-WQv Calculation'!$A$8:$A$37,'STEP 2-WQv Calculation'!$D$8:$D$37)))</f>
        <v/>
      </c>
      <c r="E172" s="18" t="str">
        <f>IF($A172="","",(LOOKUP($A172,'STEP 2-WQv Calculation'!$A$8:$A$37,'STEP 2-WQv Calculation'!$E$8:$E$37)))</f>
        <v/>
      </c>
      <c r="F172" s="42" t="str">
        <f>IF($A172="","",(LOOKUP($A172,'STEP 2-WQv Calculation'!$A$8:$A$37,'STEP 2-WQv Calculation'!$F$8:$F$37)))</f>
        <v/>
      </c>
      <c r="G172" s="27">
        <f>'STEP 2-WQv Calculation'!B89</f>
        <v>0</v>
      </c>
      <c r="H172" s="29" t="str">
        <f>IF($A172="","",(LOOKUP($A172,'STEP 2-WQv Calculation'!$A$8:$A$37,'STEP 2-WQv Calculation'!$G$8:$G$37)))</f>
        <v/>
      </c>
    </row>
    <row r="173" spans="1:8" x14ac:dyDescent="0.35">
      <c r="A173" s="242" t="s">
        <v>421</v>
      </c>
      <c r="B173" s="243"/>
      <c r="C173" s="244"/>
      <c r="D173" s="364"/>
      <c r="E173" s="365"/>
      <c r="F173" s="365"/>
      <c r="G173" s="365"/>
      <c r="H173" s="366"/>
    </row>
    <row r="174" spans="1:8" ht="13" x14ac:dyDescent="0.3">
      <c r="A174" s="273" t="s">
        <v>226</v>
      </c>
      <c r="B174" s="273"/>
      <c r="C174" s="273"/>
      <c r="D174" s="273"/>
      <c r="E174" s="273"/>
      <c r="F174" s="273"/>
      <c r="G174" s="273"/>
      <c r="H174" s="273"/>
    </row>
    <row r="175" spans="1:8" x14ac:dyDescent="0.35">
      <c r="A175" s="242" t="s">
        <v>422</v>
      </c>
      <c r="B175" s="243"/>
      <c r="C175" s="244"/>
      <c r="D175" s="211"/>
      <c r="E175" s="322" t="str">
        <f>IF(AND(D173="Intensive Green Roof",D175&gt;10),"Does not meet design criteria",IF(AND(D173="Extensive Green Roof",D175&gt;25),"Does not meet design criteria",IF(AND(D173="Extensive Green Roof",D175&gt;10),"Strapping and drainage layer stabilization required","")))</f>
        <v/>
      </c>
      <c r="F175" s="323"/>
      <c r="G175" s="323"/>
      <c r="H175" s="324"/>
    </row>
    <row r="176" spans="1:8" x14ac:dyDescent="0.35">
      <c r="A176" s="242" t="s">
        <v>423</v>
      </c>
      <c r="B176" s="243"/>
      <c r="C176" s="244"/>
      <c r="D176" s="211"/>
      <c r="E176" s="322" t="str">
        <f>IF(D176="","",IF(D176&lt;6,"Does not meet design criteria",""))</f>
        <v/>
      </c>
      <c r="F176" s="323"/>
      <c r="G176" s="323"/>
      <c r="H176" s="324"/>
    </row>
    <row r="177" spans="1:8" x14ac:dyDescent="0.35">
      <c r="A177" s="242" t="s">
        <v>424</v>
      </c>
      <c r="B177" s="243"/>
      <c r="C177" s="244"/>
      <c r="D177" s="211"/>
      <c r="E177" s="322" t="str">
        <f>IF(D177="No","Does not meet design criteria","")</f>
        <v/>
      </c>
      <c r="F177" s="323"/>
      <c r="G177" s="323"/>
      <c r="H177" s="324"/>
    </row>
    <row r="178" spans="1:8" x14ac:dyDescent="0.35">
      <c r="A178" s="242" t="s">
        <v>425</v>
      </c>
      <c r="B178" s="243"/>
      <c r="C178" s="244"/>
      <c r="D178" s="211"/>
      <c r="E178" s="322" t="str">
        <f>IF(D178="No","Does not meet design criteria","")</f>
        <v/>
      </c>
      <c r="F178" s="323"/>
      <c r="G178" s="323"/>
      <c r="H178" s="324"/>
    </row>
    <row r="179" spans="1:8" x14ac:dyDescent="0.35">
      <c r="A179" s="242" t="s">
        <v>426</v>
      </c>
      <c r="B179" s="243"/>
      <c r="C179" s="244"/>
      <c r="D179" s="211"/>
      <c r="E179" s="322" t="str">
        <f>IF(D179="No","Does not meet design criteria","")</f>
        <v/>
      </c>
      <c r="F179" s="323"/>
      <c r="G179" s="323"/>
      <c r="H179" s="324"/>
    </row>
    <row r="180" spans="1:8" x14ac:dyDescent="0.35">
      <c r="A180" s="242" t="s">
        <v>427</v>
      </c>
      <c r="B180" s="243"/>
      <c r="C180" s="244"/>
      <c r="D180" s="211"/>
      <c r="E180" s="322" t="str">
        <f>IF(D180="No","Does not meet design criteria","")</f>
        <v/>
      </c>
      <c r="F180" s="323"/>
      <c r="G180" s="323"/>
      <c r="H180" s="324"/>
    </row>
    <row r="181" spans="1:8" ht="13" x14ac:dyDescent="0.35">
      <c r="A181" s="241" t="s">
        <v>232</v>
      </c>
      <c r="B181" s="241"/>
      <c r="C181" s="241"/>
      <c r="D181" s="241"/>
      <c r="E181" s="241"/>
      <c r="F181" s="241"/>
      <c r="G181" s="241"/>
      <c r="H181" s="241"/>
    </row>
    <row r="182" spans="1:8" x14ac:dyDescent="0.35">
      <c r="A182" s="378"/>
      <c r="B182" s="379"/>
      <c r="C182" s="379"/>
      <c r="D182" s="380"/>
      <c r="E182" s="208" t="s">
        <v>256</v>
      </c>
      <c r="F182" s="38" t="s">
        <v>257</v>
      </c>
      <c r="G182" s="376"/>
      <c r="H182" s="377"/>
    </row>
    <row r="183" spans="1:8" x14ac:dyDescent="0.35">
      <c r="A183" s="245" t="s">
        <v>428</v>
      </c>
      <c r="B183" s="245"/>
      <c r="C183" s="245"/>
      <c r="D183" s="198" t="s">
        <v>429</v>
      </c>
      <c r="E183" s="210"/>
      <c r="F183" s="193" t="s">
        <v>316</v>
      </c>
      <c r="G183" s="344"/>
      <c r="H183" s="344"/>
    </row>
    <row r="184" spans="1:8" x14ac:dyDescent="0.35">
      <c r="A184" s="245" t="s">
        <v>379</v>
      </c>
      <c r="B184" s="245"/>
      <c r="C184" s="245"/>
      <c r="D184" s="198" t="s">
        <v>430</v>
      </c>
      <c r="E184" s="218"/>
      <c r="F184" s="193" t="s">
        <v>264</v>
      </c>
      <c r="G184" s="344" t="str">
        <f>IF(AND(D173="Intensive Green Roof",E184&gt;24),"Does not meet design criteria",IF(AND(D173="Intensive Green Roof",E184&lt;6),"Does not meet design criteria",IF(AND(D173="Extensive Green Roof",E184&gt;6),"Design as Intensive Green Roof",IF(AND(D173="Extensive Green Roof",E184&lt;3),"Does not meet design criteria",""))))</f>
        <v/>
      </c>
      <c r="H184" s="344"/>
    </row>
    <row r="185" spans="1:8" x14ac:dyDescent="0.35">
      <c r="A185" s="245" t="s">
        <v>431</v>
      </c>
      <c r="B185" s="245"/>
      <c r="C185" s="245"/>
      <c r="D185" s="198" t="s">
        <v>432</v>
      </c>
      <c r="E185" s="216"/>
      <c r="F185" s="193" t="s">
        <v>264</v>
      </c>
      <c r="G185" s="344"/>
      <c r="H185" s="344"/>
    </row>
    <row r="186" spans="1:8" x14ac:dyDescent="0.35">
      <c r="A186" s="245" t="s">
        <v>433</v>
      </c>
      <c r="B186" s="245"/>
      <c r="C186" s="245"/>
      <c r="D186" s="198" t="s">
        <v>434</v>
      </c>
      <c r="E186" s="216"/>
      <c r="F186" s="193"/>
      <c r="G186" s="344" t="s">
        <v>435</v>
      </c>
      <c r="H186" s="344"/>
    </row>
    <row r="187" spans="1:8" x14ac:dyDescent="0.35">
      <c r="A187" s="245" t="s">
        <v>436</v>
      </c>
      <c r="B187" s="245"/>
      <c r="C187" s="245"/>
      <c r="D187" s="198" t="s">
        <v>437</v>
      </c>
      <c r="E187" s="216"/>
      <c r="F187" s="193"/>
      <c r="G187" s="344" t="s">
        <v>435</v>
      </c>
      <c r="H187" s="344"/>
    </row>
    <row r="188" spans="1:8" x14ac:dyDescent="0.35">
      <c r="A188" s="245" t="s">
        <v>438</v>
      </c>
      <c r="B188" s="245"/>
      <c r="C188" s="245"/>
      <c r="D188" s="198" t="s">
        <v>345</v>
      </c>
      <c r="E188" s="52">
        <f>E183*(((E184/12)*E186)+((E185/12)*E187))</f>
        <v>0</v>
      </c>
      <c r="F188" s="193" t="s">
        <v>2</v>
      </c>
      <c r="G188" s="344" t="str">
        <f>IF(E188=0,"",IF(E188&lt;F172,"Does not meet sizing criteria",""))</f>
        <v/>
      </c>
      <c r="H188" s="344"/>
    </row>
    <row r="189" spans="1:8" ht="13" x14ac:dyDescent="0.35">
      <c r="A189" s="391" t="s">
        <v>241</v>
      </c>
      <c r="B189" s="391"/>
      <c r="C189" s="391"/>
      <c r="D189" s="392"/>
      <c r="E189" s="147" t="str">
        <f>IF(A172="","",IF(AND(D173="Intensive Green Roof",D175&gt;10),0,IF(AND(D173="Extensive Green Roof",D175&gt;25),0,IF(D176&lt;6,0,IF(D177="No",0,IF(D178="No",0,IF(D179="No",0,IF(D180="No",0,IF(AND(D173="Intensive Green Roof",E184&gt;24),0,IF(AND(E184&lt;6),0,IF(AND(D173="Extensive Green Roof",E184&gt;6),0,IF(AND(D173="Extensive Green Roof",E184&lt;3),0,IF(E188&lt;F172,0,F172*1)))))))))))))</f>
        <v/>
      </c>
      <c r="F189" s="393" t="s">
        <v>2</v>
      </c>
      <c r="G189" s="394"/>
      <c r="H189" s="395"/>
    </row>
    <row r="190" spans="1:8" ht="13" x14ac:dyDescent="0.35">
      <c r="A190" s="16" t="s">
        <v>56</v>
      </c>
      <c r="B190" s="225" t="str">
        <f>IF('STEP 2-WQv Calculation'!$B$4="","",'STEP 2-WQv Calculation'!$B$4)</f>
        <v/>
      </c>
      <c r="C190" s="146"/>
      <c r="D190" s="146"/>
      <c r="E190" s="146"/>
      <c r="F190" s="146"/>
      <c r="G190" s="146"/>
      <c r="H190" s="146"/>
    </row>
    <row r="191" spans="1:8" ht="13" x14ac:dyDescent="0.35">
      <c r="A191" s="309" t="s">
        <v>293</v>
      </c>
      <c r="B191" s="309"/>
      <c r="C191" s="309"/>
      <c r="D191" s="309"/>
      <c r="E191" s="309"/>
      <c r="F191" s="309"/>
      <c r="G191" s="309"/>
      <c r="H191" s="309"/>
    </row>
    <row r="192" spans="1:8" ht="39" x14ac:dyDescent="0.35">
      <c r="A192" s="204" t="s">
        <v>60</v>
      </c>
      <c r="B192" s="205" t="s">
        <v>61</v>
      </c>
      <c r="C192" s="205" t="s">
        <v>62</v>
      </c>
      <c r="D192" s="205" t="s">
        <v>420</v>
      </c>
      <c r="E192" s="205" t="s">
        <v>64</v>
      </c>
      <c r="F192" s="205" t="s">
        <v>65</v>
      </c>
      <c r="G192" s="205" t="s">
        <v>244</v>
      </c>
      <c r="H192" s="206" t="s">
        <v>13</v>
      </c>
    </row>
    <row r="193" spans="1:8" x14ac:dyDescent="0.35">
      <c r="A193" s="17"/>
      <c r="B193" s="18" t="str">
        <f>IF($A193="","",(LOOKUP($A193,'STEP 2-WQv Calculation'!$A$8:$A$37,'STEP 2-WQv Calculation'!$B$8:$B$37)))</f>
        <v/>
      </c>
      <c r="C193" s="18" t="str">
        <f>IF($A193="","",(LOOKUP($A193,'STEP 2-WQv Calculation'!$A$8:$A$37,'STEP 2-WQv Calculation'!$C$8:$C$37)))</f>
        <v/>
      </c>
      <c r="D193" s="53" t="str">
        <f>IF($A193="","",(LOOKUP($A193,'STEP 2-WQv Calculation'!$A$8:$A$37,'STEP 2-WQv Calculation'!$D$8:$D$37)))</f>
        <v/>
      </c>
      <c r="E193" s="18" t="str">
        <f>IF($A193="","",(LOOKUP($A193,'STEP 2-WQv Calculation'!$A$8:$A$37,'STEP 2-WQv Calculation'!$E$8:$E$37)))</f>
        <v/>
      </c>
      <c r="F193" s="42" t="str">
        <f>IF($A193="","",(LOOKUP($A193,'STEP 2-WQv Calculation'!$A$8:$A$37,'STEP 2-WQv Calculation'!$F$8:$F$37)))</f>
        <v/>
      </c>
      <c r="G193" s="27">
        <f>'STEP 2-WQv Calculation'!B110</f>
        <v>0</v>
      </c>
      <c r="H193" s="29" t="str">
        <f>IF($A193="","",(LOOKUP($A193,'STEP 2-WQv Calculation'!$A$8:$A$37,'STEP 2-WQv Calculation'!$G$8:$G$37)))</f>
        <v/>
      </c>
    </row>
    <row r="194" spans="1:8" x14ac:dyDescent="0.35">
      <c r="A194" s="242" t="s">
        <v>421</v>
      </c>
      <c r="B194" s="243"/>
      <c r="C194" s="244"/>
      <c r="D194" s="364"/>
      <c r="E194" s="365"/>
      <c r="F194" s="365"/>
      <c r="G194" s="365"/>
      <c r="H194" s="366"/>
    </row>
    <row r="195" spans="1:8" ht="13" x14ac:dyDescent="0.3">
      <c r="A195" s="273" t="s">
        <v>226</v>
      </c>
      <c r="B195" s="273"/>
      <c r="C195" s="273"/>
      <c r="D195" s="273"/>
      <c r="E195" s="273"/>
      <c r="F195" s="273"/>
      <c r="G195" s="273"/>
      <c r="H195" s="273"/>
    </row>
    <row r="196" spans="1:8" x14ac:dyDescent="0.35">
      <c r="A196" s="242" t="s">
        <v>422</v>
      </c>
      <c r="B196" s="243"/>
      <c r="C196" s="244"/>
      <c r="D196" s="211"/>
      <c r="E196" s="322" t="str">
        <f>IF(AND(D194="Intensive Green Roof",D196&gt;10),"Does not meet design criteria",IF(AND(D194="Extensive Green Roof",D196&gt;25),"Does not meet design criteria",IF(AND(D194="Extensive Green Roof",D196&gt;10),"Strapping and drainage layer stabilization required","")))</f>
        <v/>
      </c>
      <c r="F196" s="323"/>
      <c r="G196" s="323"/>
      <c r="H196" s="324"/>
    </row>
    <row r="197" spans="1:8" x14ac:dyDescent="0.35">
      <c r="A197" s="242" t="s">
        <v>423</v>
      </c>
      <c r="B197" s="243"/>
      <c r="C197" s="244"/>
      <c r="D197" s="211"/>
      <c r="E197" s="322" t="str">
        <f>IF(D197="","",IF(D197&lt;6,"Does not meet design criteria",""))</f>
        <v/>
      </c>
      <c r="F197" s="323"/>
      <c r="G197" s="323"/>
      <c r="H197" s="324"/>
    </row>
    <row r="198" spans="1:8" x14ac:dyDescent="0.35">
      <c r="A198" s="242" t="s">
        <v>424</v>
      </c>
      <c r="B198" s="243"/>
      <c r="C198" s="244"/>
      <c r="D198" s="211"/>
      <c r="E198" s="322" t="str">
        <f>IF(D198="No","Does not meet design criteria","")</f>
        <v/>
      </c>
      <c r="F198" s="323"/>
      <c r="G198" s="323"/>
      <c r="H198" s="324"/>
    </row>
    <row r="199" spans="1:8" x14ac:dyDescent="0.35">
      <c r="A199" s="242" t="s">
        <v>425</v>
      </c>
      <c r="B199" s="243"/>
      <c r="C199" s="244"/>
      <c r="D199" s="211"/>
      <c r="E199" s="322" t="str">
        <f>IF(D199="No","Does not meet design criteria","")</f>
        <v/>
      </c>
      <c r="F199" s="323"/>
      <c r="G199" s="323"/>
      <c r="H199" s="324"/>
    </row>
    <row r="200" spans="1:8" x14ac:dyDescent="0.35">
      <c r="A200" s="242" t="s">
        <v>426</v>
      </c>
      <c r="B200" s="243"/>
      <c r="C200" s="244"/>
      <c r="D200" s="211"/>
      <c r="E200" s="322" t="str">
        <f>IF(D200="No","Does not meet design criteria","")</f>
        <v/>
      </c>
      <c r="F200" s="323"/>
      <c r="G200" s="323"/>
      <c r="H200" s="324"/>
    </row>
    <row r="201" spans="1:8" x14ac:dyDescent="0.35">
      <c r="A201" s="242" t="s">
        <v>427</v>
      </c>
      <c r="B201" s="243"/>
      <c r="C201" s="244"/>
      <c r="D201" s="211"/>
      <c r="E201" s="322" t="str">
        <f>IF(D201="No","Does not meet design criteria","")</f>
        <v/>
      </c>
      <c r="F201" s="323"/>
      <c r="G201" s="323"/>
      <c r="H201" s="324"/>
    </row>
    <row r="202" spans="1:8" ht="13" x14ac:dyDescent="0.35">
      <c r="A202" s="241" t="s">
        <v>232</v>
      </c>
      <c r="B202" s="241"/>
      <c r="C202" s="241"/>
      <c r="D202" s="241"/>
      <c r="E202" s="241"/>
      <c r="F202" s="241"/>
      <c r="G202" s="241"/>
      <c r="H202" s="241"/>
    </row>
    <row r="203" spans="1:8" x14ac:dyDescent="0.35">
      <c r="A203" s="378"/>
      <c r="B203" s="379"/>
      <c r="C203" s="379"/>
      <c r="D203" s="380"/>
      <c r="E203" s="208" t="s">
        <v>256</v>
      </c>
      <c r="F203" s="38" t="s">
        <v>257</v>
      </c>
      <c r="G203" s="376"/>
      <c r="H203" s="377"/>
    </row>
    <row r="204" spans="1:8" x14ac:dyDescent="0.35">
      <c r="A204" s="245" t="s">
        <v>428</v>
      </c>
      <c r="B204" s="245"/>
      <c r="C204" s="245"/>
      <c r="D204" s="198" t="s">
        <v>429</v>
      </c>
      <c r="E204" s="210"/>
      <c r="F204" s="193" t="s">
        <v>316</v>
      </c>
      <c r="G204" s="344"/>
      <c r="H204" s="344"/>
    </row>
    <row r="205" spans="1:8" x14ac:dyDescent="0.35">
      <c r="A205" s="245" t="s">
        <v>379</v>
      </c>
      <c r="B205" s="245"/>
      <c r="C205" s="245"/>
      <c r="D205" s="198" t="s">
        <v>430</v>
      </c>
      <c r="E205" s="218"/>
      <c r="F205" s="193" t="s">
        <v>264</v>
      </c>
      <c r="G205" s="344" t="str">
        <f>IF(AND(D194="Intensive Green Roof",E205&gt;24),"Does not meet design criteria",IF(AND(D194="Intensive Green Roof",E205&lt;6),"Does not meet design criteria",IF(AND(D194="Extensive Green Roof",E205&gt;6),"Design as Intensive Green Roof",IF(AND(D194="Extensive Green Roof",E205&lt;3),"Does not meet design criteria",""))))</f>
        <v/>
      </c>
      <c r="H205" s="344"/>
    </row>
    <row r="206" spans="1:8" x14ac:dyDescent="0.35">
      <c r="A206" s="245" t="s">
        <v>431</v>
      </c>
      <c r="B206" s="245"/>
      <c r="C206" s="245"/>
      <c r="D206" s="198" t="s">
        <v>432</v>
      </c>
      <c r="E206" s="216"/>
      <c r="F206" s="193" t="s">
        <v>264</v>
      </c>
      <c r="G206" s="344"/>
      <c r="H206" s="344"/>
    </row>
    <row r="207" spans="1:8" x14ac:dyDescent="0.35">
      <c r="A207" s="245" t="s">
        <v>433</v>
      </c>
      <c r="B207" s="245"/>
      <c r="C207" s="245"/>
      <c r="D207" s="198" t="s">
        <v>434</v>
      </c>
      <c r="E207" s="216"/>
      <c r="F207" s="193"/>
      <c r="G207" s="344" t="s">
        <v>435</v>
      </c>
      <c r="H207" s="344"/>
    </row>
    <row r="208" spans="1:8" x14ac:dyDescent="0.35">
      <c r="A208" s="245" t="s">
        <v>436</v>
      </c>
      <c r="B208" s="245"/>
      <c r="C208" s="245"/>
      <c r="D208" s="198" t="s">
        <v>437</v>
      </c>
      <c r="E208" s="216"/>
      <c r="F208" s="193"/>
      <c r="G208" s="344" t="s">
        <v>435</v>
      </c>
      <c r="H208" s="344"/>
    </row>
    <row r="209" spans="1:8" x14ac:dyDescent="0.35">
      <c r="A209" s="245" t="s">
        <v>438</v>
      </c>
      <c r="B209" s="245"/>
      <c r="C209" s="245"/>
      <c r="D209" s="198" t="s">
        <v>345</v>
      </c>
      <c r="E209" s="52">
        <f>E204*(((E205/12)*E207)+((E206/12)*E208))</f>
        <v>0</v>
      </c>
      <c r="F209" s="193" t="s">
        <v>2</v>
      </c>
      <c r="G209" s="344" t="str">
        <f>IF(E209=0,"",IF(E209&lt;F193,"Does not meet sizing criteria",""))</f>
        <v/>
      </c>
      <c r="H209" s="344"/>
    </row>
    <row r="210" spans="1:8" ht="13" x14ac:dyDescent="0.35">
      <c r="A210" s="391" t="s">
        <v>241</v>
      </c>
      <c r="B210" s="391"/>
      <c r="C210" s="391"/>
      <c r="D210" s="392"/>
      <c r="E210" s="147" t="str">
        <f>IF(A193="","",IF(AND(D194="Intensive Green Roof",D196&gt;10),0,IF(AND(D194="Extensive Green Roof",D196&gt;25),0,IF(D197&lt;6,0,IF(D198="No",0,IF(D199="No",0,IF(D200="No",0,IF(D201="No",0,IF(AND(D194="Intensive Green Roof",E205&gt;24),0,IF(AND(E205&lt;6),0,IF(AND(D194="Extensive Green Roof",E205&gt;6),0,IF(AND(D194="Extensive Green Roof",E205&lt;3),0,IF(E209&lt;F193,0,F193*1)))))))))))))</f>
        <v/>
      </c>
      <c r="F210" s="393" t="s">
        <v>2</v>
      </c>
      <c r="G210" s="394"/>
      <c r="H210" s="395"/>
    </row>
  </sheetData>
  <sheetProtection algorithmName="SHA-512" hashValue="7skRJFqwM6jRtmJDY2BLFHrW6Esst4/1FXAvCBCxeoRSQ7WdAvRypvZ2BKMJFS1CH809pR4HYnU3sctd8FLf4w==" saltValue="Tn/RzdjqYYuHXVaUbnWpFw==" spinCount="100000" sheet="1" formatColumns="0" formatRows="0"/>
  <mergeCells count="333">
    <mergeCell ref="A209:C209"/>
    <mergeCell ref="G209:H209"/>
    <mergeCell ref="A210:D210"/>
    <mergeCell ref="F210:H210"/>
    <mergeCell ref="A204:C204"/>
    <mergeCell ref="G204:H204"/>
    <mergeCell ref="A205:C205"/>
    <mergeCell ref="G205:H205"/>
    <mergeCell ref="A206:C206"/>
    <mergeCell ref="G206:H206"/>
    <mergeCell ref="A207:C207"/>
    <mergeCell ref="G207:H207"/>
    <mergeCell ref="A208:C208"/>
    <mergeCell ref="G208:H208"/>
    <mergeCell ref="A199:C199"/>
    <mergeCell ref="E199:H199"/>
    <mergeCell ref="A200:C200"/>
    <mergeCell ref="E200:H200"/>
    <mergeCell ref="A201:C201"/>
    <mergeCell ref="E201:H201"/>
    <mergeCell ref="A202:H202"/>
    <mergeCell ref="A203:D203"/>
    <mergeCell ref="G203:H203"/>
    <mergeCell ref="A194:C194"/>
    <mergeCell ref="D194:H194"/>
    <mergeCell ref="A195:H195"/>
    <mergeCell ref="A196:C196"/>
    <mergeCell ref="E196:H196"/>
    <mergeCell ref="A197:C197"/>
    <mergeCell ref="E197:H197"/>
    <mergeCell ref="A198:C198"/>
    <mergeCell ref="E198:H198"/>
    <mergeCell ref="A186:C186"/>
    <mergeCell ref="G186:H186"/>
    <mergeCell ref="A187:C187"/>
    <mergeCell ref="G187:H187"/>
    <mergeCell ref="A188:C188"/>
    <mergeCell ref="G188:H188"/>
    <mergeCell ref="A189:D189"/>
    <mergeCell ref="F189:H189"/>
    <mergeCell ref="A191:H191"/>
    <mergeCell ref="A181:H181"/>
    <mergeCell ref="A182:D182"/>
    <mergeCell ref="G182:H182"/>
    <mergeCell ref="A183:C183"/>
    <mergeCell ref="G183:H183"/>
    <mergeCell ref="A184:C184"/>
    <mergeCell ref="G184:H184"/>
    <mergeCell ref="A185:C185"/>
    <mergeCell ref="G185:H185"/>
    <mergeCell ref="A176:C176"/>
    <mergeCell ref="E176:H176"/>
    <mergeCell ref="A177:C177"/>
    <mergeCell ref="E177:H177"/>
    <mergeCell ref="A178:C178"/>
    <mergeCell ref="E178:H178"/>
    <mergeCell ref="A179:C179"/>
    <mergeCell ref="E179:H179"/>
    <mergeCell ref="A180:C180"/>
    <mergeCell ref="E180:H180"/>
    <mergeCell ref="A167:C167"/>
    <mergeCell ref="G167:H167"/>
    <mergeCell ref="A168:D168"/>
    <mergeCell ref="F168:H168"/>
    <mergeCell ref="A170:H170"/>
    <mergeCell ref="A173:C173"/>
    <mergeCell ref="D173:H173"/>
    <mergeCell ref="A174:H174"/>
    <mergeCell ref="A175:C175"/>
    <mergeCell ref="E175:H175"/>
    <mergeCell ref="A162:C162"/>
    <mergeCell ref="G162:H162"/>
    <mergeCell ref="A163:C163"/>
    <mergeCell ref="G163:H163"/>
    <mergeCell ref="A164:C164"/>
    <mergeCell ref="G164:H164"/>
    <mergeCell ref="A165:C165"/>
    <mergeCell ref="G165:H165"/>
    <mergeCell ref="A166:C166"/>
    <mergeCell ref="G166:H166"/>
    <mergeCell ref="A157:C157"/>
    <mergeCell ref="E157:H157"/>
    <mergeCell ref="A158:C158"/>
    <mergeCell ref="E158:H158"/>
    <mergeCell ref="A159:C159"/>
    <mergeCell ref="E159:H159"/>
    <mergeCell ref="A160:H160"/>
    <mergeCell ref="A161:D161"/>
    <mergeCell ref="G161:H161"/>
    <mergeCell ref="A152:C152"/>
    <mergeCell ref="D152:H152"/>
    <mergeCell ref="A153:H153"/>
    <mergeCell ref="A154:C154"/>
    <mergeCell ref="E154:H154"/>
    <mergeCell ref="A155:C155"/>
    <mergeCell ref="E155:H155"/>
    <mergeCell ref="A156:C156"/>
    <mergeCell ref="E156:H156"/>
    <mergeCell ref="A144:C144"/>
    <mergeCell ref="G144:H144"/>
    <mergeCell ref="A145:C145"/>
    <mergeCell ref="G145:H145"/>
    <mergeCell ref="A146:C146"/>
    <mergeCell ref="G146:H146"/>
    <mergeCell ref="A147:D147"/>
    <mergeCell ref="F147:H147"/>
    <mergeCell ref="A149:H149"/>
    <mergeCell ref="A139:H139"/>
    <mergeCell ref="A140:D140"/>
    <mergeCell ref="G140:H140"/>
    <mergeCell ref="A141:C141"/>
    <mergeCell ref="G141:H141"/>
    <mergeCell ref="A142:C142"/>
    <mergeCell ref="G142:H142"/>
    <mergeCell ref="A143:C143"/>
    <mergeCell ref="G143:H143"/>
    <mergeCell ref="A134:C134"/>
    <mergeCell ref="E134:H134"/>
    <mergeCell ref="A135:C135"/>
    <mergeCell ref="E135:H135"/>
    <mergeCell ref="A136:C136"/>
    <mergeCell ref="E136:H136"/>
    <mergeCell ref="A137:C137"/>
    <mergeCell ref="E137:H137"/>
    <mergeCell ref="A138:C138"/>
    <mergeCell ref="E138:H138"/>
    <mergeCell ref="A125:C125"/>
    <mergeCell ref="G125:H125"/>
    <mergeCell ref="A126:D126"/>
    <mergeCell ref="F126:H126"/>
    <mergeCell ref="A128:H128"/>
    <mergeCell ref="A131:C131"/>
    <mergeCell ref="D131:H131"/>
    <mergeCell ref="A132:H132"/>
    <mergeCell ref="A133:C133"/>
    <mergeCell ref="E133:H133"/>
    <mergeCell ref="A120:C120"/>
    <mergeCell ref="G120:H120"/>
    <mergeCell ref="A121:C121"/>
    <mergeCell ref="G121:H121"/>
    <mergeCell ref="A122:C122"/>
    <mergeCell ref="G122:H122"/>
    <mergeCell ref="A123:C123"/>
    <mergeCell ref="G123:H123"/>
    <mergeCell ref="A124:C124"/>
    <mergeCell ref="G124:H124"/>
    <mergeCell ref="A115:C115"/>
    <mergeCell ref="E115:H115"/>
    <mergeCell ref="A116:C116"/>
    <mergeCell ref="E116:H116"/>
    <mergeCell ref="A117:C117"/>
    <mergeCell ref="E117:H117"/>
    <mergeCell ref="A118:H118"/>
    <mergeCell ref="A119:D119"/>
    <mergeCell ref="G119:H119"/>
    <mergeCell ref="A107:H107"/>
    <mergeCell ref="A110:C110"/>
    <mergeCell ref="D110:H110"/>
    <mergeCell ref="A111:H111"/>
    <mergeCell ref="A112:C112"/>
    <mergeCell ref="E112:H112"/>
    <mergeCell ref="A113:C113"/>
    <mergeCell ref="E113:H113"/>
    <mergeCell ref="A114:C114"/>
    <mergeCell ref="E114:H114"/>
    <mergeCell ref="A105:D105"/>
    <mergeCell ref="F105:H105"/>
    <mergeCell ref="I2:J2"/>
    <mergeCell ref="I3:J3"/>
    <mergeCell ref="I4:J4"/>
    <mergeCell ref="A102:C102"/>
    <mergeCell ref="G102:H102"/>
    <mergeCell ref="A103:C103"/>
    <mergeCell ref="G103:H103"/>
    <mergeCell ref="A104:C104"/>
    <mergeCell ref="G104:H104"/>
    <mergeCell ref="A100:C100"/>
    <mergeCell ref="G100:H100"/>
    <mergeCell ref="A101:C101"/>
    <mergeCell ref="G101:H101"/>
    <mergeCell ref="A97:H97"/>
    <mergeCell ref="A98:D98"/>
    <mergeCell ref="G98:H98"/>
    <mergeCell ref="A99:C99"/>
    <mergeCell ref="G99:H99"/>
    <mergeCell ref="A94:C94"/>
    <mergeCell ref="E94:H94"/>
    <mergeCell ref="A95:C95"/>
    <mergeCell ref="E95:H95"/>
    <mergeCell ref="G79:H79"/>
    <mergeCell ref="A79:C79"/>
    <mergeCell ref="G78:H78"/>
    <mergeCell ref="F84:H84"/>
    <mergeCell ref="A84:D84"/>
    <mergeCell ref="G83:H83"/>
    <mergeCell ref="A83:C83"/>
    <mergeCell ref="G82:H82"/>
    <mergeCell ref="A82:C82"/>
    <mergeCell ref="G81:H81"/>
    <mergeCell ref="A81:C81"/>
    <mergeCell ref="G80:H80"/>
    <mergeCell ref="A80:C80"/>
    <mergeCell ref="A96:C96"/>
    <mergeCell ref="E96:H96"/>
    <mergeCell ref="A91:C91"/>
    <mergeCell ref="E91:H91"/>
    <mergeCell ref="A92:C92"/>
    <mergeCell ref="E92:H92"/>
    <mergeCell ref="A93:C93"/>
    <mergeCell ref="E93:H93"/>
    <mergeCell ref="A86:H86"/>
    <mergeCell ref="A89:C89"/>
    <mergeCell ref="D89:H89"/>
    <mergeCell ref="A90:H90"/>
    <mergeCell ref="A62:C62"/>
    <mergeCell ref="G62:H62"/>
    <mergeCell ref="A63:D63"/>
    <mergeCell ref="F63:H63"/>
    <mergeCell ref="A78:C78"/>
    <mergeCell ref="G77:H77"/>
    <mergeCell ref="A77:D77"/>
    <mergeCell ref="A65:H65"/>
    <mergeCell ref="A76:H76"/>
    <mergeCell ref="E75:H75"/>
    <mergeCell ref="A75:C75"/>
    <mergeCell ref="E74:H74"/>
    <mergeCell ref="A74:C74"/>
    <mergeCell ref="E70:H70"/>
    <mergeCell ref="A70:C70"/>
    <mergeCell ref="A69:H69"/>
    <mergeCell ref="D68:H68"/>
    <mergeCell ref="A68:C68"/>
    <mergeCell ref="E73:H73"/>
    <mergeCell ref="A73:C73"/>
    <mergeCell ref="E72:H72"/>
    <mergeCell ref="A72:C72"/>
    <mergeCell ref="E71:H71"/>
    <mergeCell ref="A71:C71"/>
    <mergeCell ref="A53:C53"/>
    <mergeCell ref="E53:H53"/>
    <mergeCell ref="A54:C54"/>
    <mergeCell ref="E54:H54"/>
    <mergeCell ref="A55:H55"/>
    <mergeCell ref="A50:C50"/>
    <mergeCell ref="E50:H50"/>
    <mergeCell ref="A51:C51"/>
    <mergeCell ref="E51:H51"/>
    <mergeCell ref="A52:C52"/>
    <mergeCell ref="E52:H52"/>
    <mergeCell ref="A61:C61"/>
    <mergeCell ref="G61:H61"/>
    <mergeCell ref="A44:H44"/>
    <mergeCell ref="A47:C47"/>
    <mergeCell ref="D47:H47"/>
    <mergeCell ref="A48:H48"/>
    <mergeCell ref="A49:C49"/>
    <mergeCell ref="E49:H49"/>
    <mergeCell ref="A40:C40"/>
    <mergeCell ref="G40:H40"/>
    <mergeCell ref="A41:C41"/>
    <mergeCell ref="G41:H41"/>
    <mergeCell ref="A42:D42"/>
    <mergeCell ref="F42:H42"/>
    <mergeCell ref="A59:C59"/>
    <mergeCell ref="G59:H59"/>
    <mergeCell ref="A60:C60"/>
    <mergeCell ref="G60:H60"/>
    <mergeCell ref="A56:D56"/>
    <mergeCell ref="G56:H56"/>
    <mergeCell ref="A57:C57"/>
    <mergeCell ref="G57:H57"/>
    <mergeCell ref="A58:C58"/>
    <mergeCell ref="G58:H58"/>
    <mergeCell ref="A38:C38"/>
    <mergeCell ref="G38:H38"/>
    <mergeCell ref="A39:C39"/>
    <mergeCell ref="G39:H39"/>
    <mergeCell ref="A35:D35"/>
    <mergeCell ref="G35:H35"/>
    <mergeCell ref="A36:C36"/>
    <mergeCell ref="G36:H36"/>
    <mergeCell ref="A37:C37"/>
    <mergeCell ref="G37:H37"/>
    <mergeCell ref="A32:C32"/>
    <mergeCell ref="E32:H32"/>
    <mergeCell ref="A33:C33"/>
    <mergeCell ref="E33:H33"/>
    <mergeCell ref="A34:H34"/>
    <mergeCell ref="A29:C29"/>
    <mergeCell ref="E29:H29"/>
    <mergeCell ref="A30:C30"/>
    <mergeCell ref="E30:H30"/>
    <mergeCell ref="A31:C31"/>
    <mergeCell ref="E31:H31"/>
    <mergeCell ref="A23:H23"/>
    <mergeCell ref="A26:C26"/>
    <mergeCell ref="D26:H26"/>
    <mergeCell ref="A27:H27"/>
    <mergeCell ref="A28:C28"/>
    <mergeCell ref="E28:H28"/>
    <mergeCell ref="A21:D21"/>
    <mergeCell ref="G20:H20"/>
    <mergeCell ref="F21:H21"/>
    <mergeCell ref="A20:C20"/>
    <mergeCell ref="A17:C17"/>
    <mergeCell ref="A18:C18"/>
    <mergeCell ref="A19:C19"/>
    <mergeCell ref="G14:H14"/>
    <mergeCell ref="G15:H15"/>
    <mergeCell ref="G16:H16"/>
    <mergeCell ref="G17:H17"/>
    <mergeCell ref="A14:D14"/>
    <mergeCell ref="G18:H18"/>
    <mergeCell ref="G19:H19"/>
    <mergeCell ref="A2:H2"/>
    <mergeCell ref="A13:H13"/>
    <mergeCell ref="A15:C15"/>
    <mergeCell ref="A16:C16"/>
    <mergeCell ref="A5:C5"/>
    <mergeCell ref="D5:H5"/>
    <mergeCell ref="A6:H6"/>
    <mergeCell ref="A7:C7"/>
    <mergeCell ref="E7:H7"/>
    <mergeCell ref="A8:C8"/>
    <mergeCell ref="E8:H8"/>
    <mergeCell ref="A9:C9"/>
    <mergeCell ref="E9:H9"/>
    <mergeCell ref="A10:C10"/>
    <mergeCell ref="E10:H10"/>
    <mergeCell ref="A11:C11"/>
    <mergeCell ref="E11:H11"/>
    <mergeCell ref="A12:C12"/>
    <mergeCell ref="E12:H12"/>
  </mergeCells>
  <dataValidations count="3">
    <dataValidation type="list" showInputMessage="1" showErrorMessage="1" promptTitle="Choose Area" sqref="A67 A46 A4 A25 A88 A109 A130 A151 A172 A193" xr:uid="{00000000-0002-0000-0F00-000000000000}">
      <formula1>CatchNo</formula1>
    </dataValidation>
    <dataValidation type="list" showInputMessage="1" showErrorMessage="1" promptTitle="Yes or No?" sqref="D9:D12 D30:D33 D51:D54 D72:D75 D93:D96 D114:D117 D135:D138 D156:D159 D177:D180 D198:D201" xr:uid="{DA6CAE5C-2564-440A-AB1B-E44C0301E421}">
      <formula1>YesNo</formula1>
    </dataValidation>
    <dataValidation type="decimal" operator="greaterThan" allowBlank="1" showInputMessage="1" showErrorMessage="1" sqref="D7:D8 E15 E17:E19 D28:D29 E36:E40 E57:E61 D49:D50 E78:E82 D70:D71 E99:E103 D91:D92 E120:E124 D112:D113 E141:E145 D133:D134 E162:E166 D154:D155 E183:E187 D175:D176 E204:E208 D196:D197" xr:uid="{3C69C325-3B9D-4578-8713-6A2704FAF75A}">
      <formula1>0</formula1>
    </dataValidation>
  </dataValidations>
  <pageMargins left="0.5" right="0.5" top="0.75" bottom="0.5" header="0.3" footer="0.3"/>
  <pageSetup paperSize="278" orientation="portrait" r:id="rId1"/>
  <headerFooter>
    <oddHeader>&amp;C&amp;"Arial,Regular"&amp;20Green Roof (RR-10)</oddHeader>
  </headerFooter>
  <rowBreaks count="10" manualBreakCount="10">
    <brk id="21" max="16383" man="1"/>
    <brk id="42" max="16383" man="1"/>
    <brk id="63" max="16383" man="1"/>
    <brk id="84" max="16383" man="1"/>
    <brk id="105" max="16383" man="1"/>
    <brk id="126" max="16383" man="1"/>
    <brk id="147" max="16383" man="1"/>
    <brk id="168" max="16383" man="1"/>
    <brk id="189" max="16383" man="1"/>
    <brk id="210" max="16383" man="1"/>
  </rowBreaks>
  <extLst>
    <ext xmlns:x14="http://schemas.microsoft.com/office/spreadsheetml/2009/9/main" uri="{CCE6A557-97BC-4b89-ADB6-D9C93CAAB3DF}">
      <x14:dataValidations xmlns:xm="http://schemas.microsoft.com/office/excel/2006/main" count="1">
        <x14:dataValidation type="list" showInputMessage="1" showErrorMessage="1" promptTitle="Yes or No?" xr:uid="{EC07A287-3B2C-492C-8AFC-0E1CAD7F000B}">
          <x14:formula1>
            <xm:f>Reference!$A$10:$A$11</xm:f>
          </x14:formula1>
          <xm:sqref>D5:H5 D26:H26 D47:H47 D68:H68 D89:H89 D110:H110 D131:H131 D152:H152 D173:H173 D194:H194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E14"/>
  <sheetViews>
    <sheetView view="pageLayout" zoomScaleNormal="100" workbookViewId="0">
      <selection activeCell="C3" sqref="C3"/>
    </sheetView>
  </sheetViews>
  <sheetFormatPr defaultColWidth="9.1796875" defaultRowHeight="13" x14ac:dyDescent="0.25"/>
  <cols>
    <col min="1" max="1" width="4.7265625" style="75" customWidth="1"/>
    <col min="2" max="2" width="13.453125" style="80" customWidth="1"/>
    <col min="3" max="3" width="25.7265625" style="81" customWidth="1"/>
    <col min="4" max="4" width="12.1796875" style="75" customWidth="1"/>
    <col min="5" max="5" width="39.26953125" style="75" customWidth="1"/>
    <col min="6" max="16384" width="9.1796875" style="75"/>
  </cols>
  <sheetData>
    <row r="1" spans="1:5" s="72" customFormat="1" ht="30.25" customHeight="1" x14ac:dyDescent="0.35">
      <c r="A1" s="269" t="s">
        <v>12</v>
      </c>
      <c r="B1" s="270"/>
      <c r="C1" s="69" t="s">
        <v>13</v>
      </c>
      <c r="D1" s="70" t="s">
        <v>14</v>
      </c>
      <c r="E1" s="71" t="s">
        <v>15</v>
      </c>
    </row>
    <row r="2" spans="1:5" ht="75.5" x14ac:dyDescent="0.25">
      <c r="A2" s="271" t="s">
        <v>16</v>
      </c>
      <c r="B2" s="73" t="s">
        <v>17</v>
      </c>
      <c r="C2" s="74" t="s">
        <v>18</v>
      </c>
      <c r="D2" s="218"/>
      <c r="E2" s="8" t="s">
        <v>19</v>
      </c>
    </row>
    <row r="3" spans="1:5" ht="126" x14ac:dyDescent="0.25">
      <c r="A3" s="271"/>
      <c r="B3" s="73" t="s">
        <v>20</v>
      </c>
      <c r="C3" s="74" t="s">
        <v>21</v>
      </c>
      <c r="D3" s="218"/>
      <c r="E3" s="8" t="s">
        <v>22</v>
      </c>
    </row>
    <row r="4" spans="1:5" ht="87.5" x14ac:dyDescent="0.25">
      <c r="A4" s="271"/>
      <c r="B4" s="73" t="s">
        <v>23</v>
      </c>
      <c r="C4" s="74" t="s">
        <v>24</v>
      </c>
      <c r="D4" s="218"/>
      <c r="E4" s="8" t="s">
        <v>25</v>
      </c>
    </row>
    <row r="5" spans="1:5" ht="100" x14ac:dyDescent="0.25">
      <c r="A5" s="271"/>
      <c r="B5" s="73" t="s">
        <v>26</v>
      </c>
      <c r="C5" s="74" t="s">
        <v>27</v>
      </c>
      <c r="D5" s="218"/>
      <c r="E5" s="8" t="s">
        <v>28</v>
      </c>
    </row>
    <row r="6" spans="1:5" ht="94.15" customHeight="1" x14ac:dyDescent="0.25">
      <c r="A6" s="271"/>
      <c r="B6" s="73" t="s">
        <v>29</v>
      </c>
      <c r="C6" s="74" t="s">
        <v>30</v>
      </c>
      <c r="D6" s="218"/>
      <c r="E6" s="8" t="s">
        <v>31</v>
      </c>
    </row>
    <row r="7" spans="1:5" ht="125.5" x14ac:dyDescent="0.25">
      <c r="A7" s="272"/>
      <c r="B7" s="73" t="s">
        <v>32</v>
      </c>
      <c r="C7" s="74" t="s">
        <v>33</v>
      </c>
      <c r="D7" s="218"/>
      <c r="E7" s="8" t="s">
        <v>34</v>
      </c>
    </row>
    <row r="8" spans="1:5" ht="118.15" customHeight="1" x14ac:dyDescent="0.25">
      <c r="A8" s="271" t="s">
        <v>35</v>
      </c>
      <c r="B8" s="73" t="s">
        <v>36</v>
      </c>
      <c r="C8" s="74" t="s">
        <v>37</v>
      </c>
      <c r="D8" s="218"/>
      <c r="E8" s="8" t="s">
        <v>38</v>
      </c>
    </row>
    <row r="9" spans="1:5" ht="145.9" customHeight="1" x14ac:dyDescent="0.25">
      <c r="A9" s="271"/>
      <c r="B9" s="73" t="s">
        <v>39</v>
      </c>
      <c r="C9" s="74" t="s">
        <v>40</v>
      </c>
      <c r="D9" s="218"/>
      <c r="E9" s="8" t="s">
        <v>41</v>
      </c>
    </row>
    <row r="10" spans="1:5" ht="126.65" customHeight="1" x14ac:dyDescent="0.25">
      <c r="A10" s="271"/>
      <c r="B10" s="73" t="s">
        <v>42</v>
      </c>
      <c r="C10" s="74" t="s">
        <v>43</v>
      </c>
      <c r="D10" s="218"/>
      <c r="E10" s="8" t="s">
        <v>44</v>
      </c>
    </row>
    <row r="11" spans="1:5" ht="50.5" x14ac:dyDescent="0.25">
      <c r="A11" s="271"/>
      <c r="B11" s="73" t="s">
        <v>45</v>
      </c>
      <c r="C11" s="76" t="s">
        <v>46</v>
      </c>
      <c r="D11" s="218"/>
      <c r="E11" s="8" t="s">
        <v>47</v>
      </c>
    </row>
    <row r="12" spans="1:5" ht="81" customHeight="1" x14ac:dyDescent="0.25">
      <c r="A12" s="271"/>
      <c r="B12" s="73" t="s">
        <v>48</v>
      </c>
      <c r="C12" s="74" t="s">
        <v>49</v>
      </c>
      <c r="D12" s="218"/>
      <c r="E12" s="8" t="s">
        <v>50</v>
      </c>
    </row>
    <row r="13" spans="1:5" ht="177" x14ac:dyDescent="0.25">
      <c r="A13" s="272"/>
      <c r="B13" s="73" t="s">
        <v>51</v>
      </c>
      <c r="C13" s="76" t="s">
        <v>52</v>
      </c>
      <c r="D13" s="218"/>
      <c r="E13" s="8" t="s">
        <v>53</v>
      </c>
    </row>
    <row r="14" spans="1:5" x14ac:dyDescent="0.25">
      <c r="B14" s="77"/>
      <c r="C14" s="78"/>
      <c r="D14" s="79"/>
    </row>
  </sheetData>
  <sheetProtection algorithmName="SHA-512" hashValue="s9lSk3hiriFCrP/WouQCmSszR9Ab+MYc80CztdG3+qvlU8Kdi/J+L9ctm8UxP+FUjAG78hORf048AHHergGcBA==" saltValue="Y8GG2pvj/C8+FSlKXBDzAw==" spinCount="100000" sheet="1" formatColumns="0" formatRows="0"/>
  <mergeCells count="3">
    <mergeCell ref="A1:B1"/>
    <mergeCell ref="A8:A13"/>
    <mergeCell ref="A2:A7"/>
  </mergeCells>
  <pageMargins left="0.5" right="0.5" top="0.75" bottom="0.5" header="0.3" footer="0.3"/>
  <pageSetup paperSize="278" orientation="portrait" r:id="rId1"/>
  <headerFooter>
    <oddHeader>&amp;C&amp;"Arial,Regular"&amp;18Step 1 - Site Planning</oddHeader>
  </headerFooter>
  <extLst>
    <ext xmlns:x14="http://schemas.microsoft.com/office/spreadsheetml/2009/9/main" uri="{CCE6A557-97BC-4b89-ADB6-D9C93CAAB3DF}">
      <x14:dataValidations xmlns:xm="http://schemas.microsoft.com/office/excel/2006/main" count="1">
        <x14:dataValidation type="list" showInputMessage="1" showErrorMessage="1" promptTitle="Yes or No?" xr:uid="{22131275-33CA-4BF8-B7D6-1B0F145F75E8}">
          <x14:formula1>
            <xm:f>Reference!$A$55:$A$57</xm:f>
          </x14:formula1>
          <xm:sqref>D2:D13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DA8B9-7D7F-4025-B3E2-811DC933C8C4}">
  <dimension ref="A1:Q209"/>
  <sheetViews>
    <sheetView view="pageLayout" topLeftCell="A6" zoomScaleNormal="100" zoomScaleSheetLayoutView="100" workbookViewId="0">
      <selection activeCell="K23" sqref="K23"/>
    </sheetView>
  </sheetViews>
  <sheetFormatPr defaultColWidth="9.1796875" defaultRowHeight="12.5" x14ac:dyDescent="0.35"/>
  <cols>
    <col min="1" max="1" width="12.7265625" style="12" customWidth="1"/>
    <col min="2" max="2" width="14.1796875" style="12" customWidth="1"/>
    <col min="3" max="3" width="12.7265625" style="12" customWidth="1"/>
    <col min="4" max="4" width="10.7265625" style="12" customWidth="1"/>
    <col min="5" max="5" width="7.54296875" style="12" customWidth="1"/>
    <col min="6" max="6" width="7" style="12" customWidth="1"/>
    <col min="7" max="7" width="12.453125" style="12" customWidth="1"/>
    <col min="8" max="8" width="14.54296875" style="12" customWidth="1"/>
    <col min="9" max="16384" width="9.1796875" style="12"/>
  </cols>
  <sheetData>
    <row r="1" spans="1:17" ht="18" customHeight="1" x14ac:dyDescent="0.35">
      <c r="A1" s="16" t="s">
        <v>56</v>
      </c>
      <c r="B1" s="225" t="str">
        <f>IF('STEP 2-WQv Calculation'!$B$4="","",'STEP 2-WQv Calculation'!$B$4)</f>
        <v/>
      </c>
      <c r="C1" s="199"/>
      <c r="D1" s="199"/>
      <c r="E1" s="199"/>
      <c r="F1" s="199"/>
      <c r="G1" s="199"/>
      <c r="H1" s="199"/>
      <c r="I1" s="397" t="s">
        <v>118</v>
      </c>
      <c r="J1" s="397"/>
      <c r="K1" s="397"/>
      <c r="L1" s="397"/>
      <c r="N1" s="397" t="s">
        <v>120</v>
      </c>
      <c r="O1" s="397"/>
      <c r="P1" s="397"/>
      <c r="Q1" s="397"/>
    </row>
    <row r="2" spans="1:17" ht="13" x14ac:dyDescent="0.35">
      <c r="A2" s="241" t="s">
        <v>293</v>
      </c>
      <c r="B2" s="241"/>
      <c r="C2" s="241"/>
      <c r="D2" s="241"/>
      <c r="E2" s="241"/>
      <c r="F2" s="241"/>
      <c r="G2" s="241"/>
      <c r="H2" s="241"/>
      <c r="I2" s="255" t="s">
        <v>219</v>
      </c>
      <c r="J2" s="256"/>
      <c r="K2" s="49">
        <f>SUM(K3:K7)</f>
        <v>0</v>
      </c>
      <c r="L2" s="12" t="s">
        <v>223</v>
      </c>
      <c r="N2" s="255" t="s">
        <v>219</v>
      </c>
      <c r="O2" s="256"/>
      <c r="P2" s="49">
        <f>SUM(P3:P7)</f>
        <v>0</v>
      </c>
      <c r="Q2" s="12" t="s">
        <v>223</v>
      </c>
    </row>
    <row r="3" spans="1:17" ht="46.75" customHeight="1" x14ac:dyDescent="0.35">
      <c r="A3" s="204" t="s">
        <v>60</v>
      </c>
      <c r="B3" s="205" t="s">
        <v>61</v>
      </c>
      <c r="C3" s="205" t="s">
        <v>62</v>
      </c>
      <c r="D3" s="205" t="s">
        <v>63</v>
      </c>
      <c r="E3" s="205" t="s">
        <v>64</v>
      </c>
      <c r="F3" s="205" t="s">
        <v>65</v>
      </c>
      <c r="G3" s="205" t="s">
        <v>244</v>
      </c>
      <c r="H3" s="206" t="s">
        <v>13</v>
      </c>
      <c r="I3" s="233"/>
      <c r="J3" s="234"/>
      <c r="K3" s="12">
        <f>IF(D5="Micropool Extended Detention",B4,0)</f>
        <v>0</v>
      </c>
      <c r="L3" s="12" t="s">
        <v>223</v>
      </c>
      <c r="N3" s="233"/>
      <c r="O3" s="234"/>
      <c r="P3" s="12">
        <f>IF(D5="Wet Pond",B4,0)</f>
        <v>0</v>
      </c>
      <c r="Q3" s="12" t="s">
        <v>223</v>
      </c>
    </row>
    <row r="4" spans="1:17"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c r="I4" s="233"/>
      <c r="J4" s="234"/>
      <c r="K4" s="12" t="str">
        <f>IF(D44="Micropool Extended Detention",B43,0)</f>
        <v/>
      </c>
      <c r="L4" s="12" t="s">
        <v>223</v>
      </c>
      <c r="N4" s="233"/>
      <c r="O4" s="234"/>
      <c r="P4" s="12">
        <f>IF(D44="Wet Pond",B43,0)</f>
        <v>0</v>
      </c>
      <c r="Q4" s="12" t="s">
        <v>223</v>
      </c>
    </row>
    <row r="5" spans="1:17" s="1" customFormat="1" ht="14.5" x14ac:dyDescent="0.35">
      <c r="A5" s="322" t="s">
        <v>439</v>
      </c>
      <c r="B5" s="323"/>
      <c r="C5" s="324"/>
      <c r="D5" s="364"/>
      <c r="E5" s="365"/>
      <c r="F5" s="365"/>
      <c r="G5" s="365"/>
      <c r="H5" s="366"/>
      <c r="I5" s="396"/>
      <c r="J5" s="383"/>
      <c r="K5" s="12" t="str">
        <f>IF(D88="Micropool Extended Detention",B87,0)</f>
        <v/>
      </c>
      <c r="L5" s="12" t="s">
        <v>223</v>
      </c>
      <c r="N5" s="396"/>
      <c r="O5" s="383"/>
      <c r="P5" s="12">
        <f>IF(D88="Wet Pond",B87,0)</f>
        <v>0</v>
      </c>
      <c r="Q5" s="12" t="s">
        <v>223</v>
      </c>
    </row>
    <row r="6" spans="1:17" s="1" customFormat="1" ht="15" customHeight="1" x14ac:dyDescent="0.35">
      <c r="A6" s="273" t="s">
        <v>226</v>
      </c>
      <c r="B6" s="273"/>
      <c r="C6" s="273"/>
      <c r="D6" s="273"/>
      <c r="E6" s="273"/>
      <c r="F6" s="273"/>
      <c r="G6" s="273"/>
      <c r="H6" s="273"/>
      <c r="I6" s="233"/>
      <c r="J6" s="234"/>
      <c r="K6" s="12" t="str">
        <f>IF(D132="Micropool Extended Detention",B131,0)</f>
        <v/>
      </c>
      <c r="L6" s="12" t="s">
        <v>223</v>
      </c>
      <c r="N6" s="233"/>
      <c r="O6" s="234"/>
      <c r="P6" s="12">
        <f>IF(D132="Wet Pond",B131,0)</f>
        <v>0</v>
      </c>
      <c r="Q6" s="12" t="s">
        <v>223</v>
      </c>
    </row>
    <row r="7" spans="1:17" s="1" customFormat="1" ht="15" customHeight="1" x14ac:dyDescent="0.35">
      <c r="A7" s="242" t="s">
        <v>440</v>
      </c>
      <c r="B7" s="243"/>
      <c r="C7" s="244"/>
      <c r="D7" s="211"/>
      <c r="E7" s="401" t="str">
        <f>IF(D7="YES", "Does not meet feasibility criteria","")</f>
        <v/>
      </c>
      <c r="F7" s="402"/>
      <c r="G7" s="402"/>
      <c r="H7" s="405"/>
      <c r="I7" s="255"/>
      <c r="J7" s="256"/>
      <c r="K7" s="12" t="str">
        <f>IF(D175="Micropool Extended Detention",B174,0)</f>
        <v/>
      </c>
      <c r="L7" s="12" t="s">
        <v>223</v>
      </c>
      <c r="N7" s="255"/>
      <c r="O7" s="256"/>
      <c r="P7" s="12">
        <f>IF(D175="Wet Pond",B174,0)</f>
        <v>0</v>
      </c>
      <c r="Q7" s="12" t="s">
        <v>223</v>
      </c>
    </row>
    <row r="8" spans="1:17" s="1" customFormat="1" ht="15" customHeight="1" x14ac:dyDescent="0.35">
      <c r="A8" s="242" t="s">
        <v>441</v>
      </c>
      <c r="B8" s="243"/>
      <c r="C8" s="244"/>
      <c r="D8" s="43"/>
      <c r="E8" s="401" t="str">
        <f>IF(D8&gt;15,"Does not meet feasibility criteria","")</f>
        <v/>
      </c>
      <c r="F8" s="402"/>
      <c r="G8" s="402"/>
      <c r="H8" s="405"/>
      <c r="I8" s="255" t="s">
        <v>245</v>
      </c>
      <c r="J8" s="256"/>
      <c r="K8" s="21">
        <f>SUM(K9:K13)</f>
        <v>0</v>
      </c>
      <c r="L8" s="12" t="s">
        <v>223</v>
      </c>
      <c r="N8" s="255" t="s">
        <v>245</v>
      </c>
      <c r="O8" s="256"/>
      <c r="P8" s="21">
        <f>SUM(P9:P13)</f>
        <v>0</v>
      </c>
      <c r="Q8" s="12" t="s">
        <v>223</v>
      </c>
    </row>
    <row r="9" spans="1:17" s="1" customFormat="1" ht="25.5" customHeight="1" x14ac:dyDescent="0.35">
      <c r="A9" s="242" t="s">
        <v>442</v>
      </c>
      <c r="B9" s="243"/>
      <c r="C9" s="244"/>
      <c r="D9" s="43"/>
      <c r="E9" s="401" t="str">
        <f>IF(D9="","If an impermeable liner is provided, enter 0 in/hr",IF(D9&gt;0.014,"Does not meet feasibility criteria, provide an impermeable liner",""))</f>
        <v>If an impermeable liner is provided, enter 0 in/hr</v>
      </c>
      <c r="F9" s="402"/>
      <c r="G9" s="402"/>
      <c r="H9" s="405"/>
      <c r="I9" s="233"/>
      <c r="J9" s="234"/>
      <c r="K9" s="12">
        <f>IF(D5="Micropool Extended Detention",C4,0)</f>
        <v>0</v>
      </c>
      <c r="L9" s="12" t="s">
        <v>223</v>
      </c>
      <c r="N9" s="233"/>
      <c r="O9" s="234"/>
      <c r="P9" s="12">
        <f>IF(D5="Wet Pond",C4,0)</f>
        <v>0</v>
      </c>
      <c r="Q9" s="12" t="s">
        <v>223</v>
      </c>
    </row>
    <row r="10" spans="1:17" s="1" customFormat="1" ht="13.9" customHeight="1" x14ac:dyDescent="0.35">
      <c r="A10" s="242" t="s">
        <v>443</v>
      </c>
      <c r="B10" s="243"/>
      <c r="C10" s="244"/>
      <c r="D10" s="211"/>
      <c r="E10" s="401" t="str">
        <f>IF(AND(D9&gt;0.014,D10="No"),"Does not meet feasibility criteria","")</f>
        <v/>
      </c>
      <c r="F10" s="402"/>
      <c r="G10" s="402"/>
      <c r="H10" s="405"/>
      <c r="I10" s="233"/>
      <c r="J10" s="234"/>
      <c r="K10" s="12" t="str">
        <f>IF(D44="Micropool Extended Detention",C43,0)</f>
        <v/>
      </c>
      <c r="L10" s="12" t="s">
        <v>223</v>
      </c>
      <c r="N10" s="233"/>
      <c r="O10" s="234"/>
      <c r="P10" s="12">
        <f>IF(D44="Wet Pond",B43,0)</f>
        <v>0</v>
      </c>
      <c r="Q10" s="12" t="s">
        <v>223</v>
      </c>
    </row>
    <row r="11" spans="1:17" s="1" customFormat="1" ht="13.9" customHeight="1" x14ac:dyDescent="0.35">
      <c r="A11" s="242" t="s">
        <v>444</v>
      </c>
      <c r="B11" s="243"/>
      <c r="C11" s="244"/>
      <c r="D11" s="211"/>
      <c r="E11" s="401"/>
      <c r="F11" s="402"/>
      <c r="G11" s="402"/>
      <c r="H11" s="405"/>
      <c r="I11" s="396"/>
      <c r="J11" s="383"/>
      <c r="K11" s="12" t="str">
        <f>IF(D88="Micropool Extended Detention",C87,0)</f>
        <v/>
      </c>
      <c r="L11" s="12" t="s">
        <v>223</v>
      </c>
      <c r="N11" s="396"/>
      <c r="O11" s="383"/>
      <c r="P11" s="12">
        <f>IF(D88="Wet Pond",C87,0)</f>
        <v>0</v>
      </c>
      <c r="Q11" s="12" t="s">
        <v>223</v>
      </c>
    </row>
    <row r="12" spans="1:17" s="1" customFormat="1" ht="13.9" customHeight="1" x14ac:dyDescent="0.35">
      <c r="A12" s="242" t="s">
        <v>445</v>
      </c>
      <c r="B12" s="243"/>
      <c r="C12" s="244"/>
      <c r="D12" s="211"/>
      <c r="E12" s="401" t="str">
        <f>IF(AND(D11="Yes",D12="Yes"),"Provide 100% pretreatment","")</f>
        <v/>
      </c>
      <c r="F12" s="402"/>
      <c r="G12" s="402"/>
      <c r="H12" s="405"/>
      <c r="I12" s="233"/>
      <c r="J12" s="234"/>
      <c r="K12" s="12" t="str">
        <f>IF(D132="Micropool Extended Detention",C131,0)</f>
        <v/>
      </c>
      <c r="L12" s="12" t="s">
        <v>223</v>
      </c>
      <c r="N12" s="233"/>
      <c r="O12" s="234"/>
      <c r="P12" s="12">
        <f>IF(D132="Wet Pond",C131,0)</f>
        <v>0</v>
      </c>
      <c r="Q12" s="12" t="s">
        <v>223</v>
      </c>
    </row>
    <row r="13" spans="1:17" s="1" customFormat="1" ht="14.5" x14ac:dyDescent="0.35">
      <c r="A13" s="242" t="s">
        <v>296</v>
      </c>
      <c r="B13" s="243"/>
      <c r="C13" s="244"/>
      <c r="D13" s="43"/>
      <c r="E13" s="401" t="str">
        <f>IF(D13="","",IF(AND(D11="Yes",D13&lt;2),"Does not meet feasibility criteria",IF(AND(D12="Yes",D13&lt;2),"Does not meet feasibility criteria","")))</f>
        <v/>
      </c>
      <c r="F13" s="402"/>
      <c r="G13" s="402"/>
      <c r="H13" s="405"/>
      <c r="I13" s="255"/>
      <c r="J13" s="256"/>
      <c r="K13" s="12" t="str">
        <f>IF(D175="Micropool Extended Detention",C174,0)</f>
        <v/>
      </c>
      <c r="L13" s="12" t="s">
        <v>223</v>
      </c>
      <c r="N13" s="255"/>
      <c r="O13" s="256"/>
      <c r="P13" s="12">
        <f>IF(D175="Wet Pond",C174,0)</f>
        <v>0</v>
      </c>
      <c r="Q13" s="12" t="s">
        <v>223</v>
      </c>
    </row>
    <row r="14" spans="1:17" s="1" customFormat="1" ht="13.9" customHeight="1" x14ac:dyDescent="0.35">
      <c r="A14" s="242" t="s">
        <v>446</v>
      </c>
      <c r="B14" s="243"/>
      <c r="C14" s="244"/>
      <c r="D14" s="43"/>
      <c r="E14" s="401"/>
      <c r="F14" s="402"/>
      <c r="G14" s="402"/>
      <c r="H14" s="405"/>
      <c r="I14" s="255" t="s">
        <v>447</v>
      </c>
      <c r="J14" s="256"/>
      <c r="K14" s="28">
        <f>SUM(K16:K20)</f>
        <v>0</v>
      </c>
      <c r="L14" s="12" t="s">
        <v>2</v>
      </c>
      <c r="N14" s="255" t="s">
        <v>447</v>
      </c>
      <c r="O14" s="256"/>
      <c r="P14" s="28">
        <f>SUM(P16:P20)</f>
        <v>0</v>
      </c>
      <c r="Q14" s="12" t="s">
        <v>2</v>
      </c>
    </row>
    <row r="15" spans="1:17" s="1" customFormat="1" ht="28.5" customHeight="1" x14ac:dyDescent="0.35">
      <c r="A15" s="242" t="s">
        <v>711</v>
      </c>
      <c r="B15" s="406"/>
      <c r="C15" s="407"/>
      <c r="D15" s="218"/>
      <c r="E15" s="218"/>
      <c r="F15" s="218"/>
      <c r="G15" s="198" t="s">
        <v>712</v>
      </c>
      <c r="H15" s="198">
        <f>IF($D15="",0,(LOOKUP($D15,'STEP 2-WQv Calculation'!$A$8:$A$37,'STEP 2-WQv Calculation'!$B$8:$B$37)))+IF($E15="",0,(LOOKUP($E15,'STEP 2-WQv Calculation'!$A$8:$A$37,'STEP 2-WQv Calculation'!$B$8:$B$37)))+IF($F15="",0,(LOOKUP($F15,'STEP 2-WQv Calculation'!$A$8:$A$37,'STEP 2-WQv Calculation'!$B$8:$B$37)))</f>
        <v>0</v>
      </c>
      <c r="I15" s="229"/>
      <c r="J15" s="230"/>
      <c r="K15" s="28"/>
      <c r="L15" s="12"/>
      <c r="N15" s="229"/>
      <c r="O15" s="230"/>
      <c r="P15" s="28"/>
      <c r="Q15" s="12"/>
    </row>
    <row r="16" spans="1:17" s="1" customFormat="1" ht="24" customHeight="1" x14ac:dyDescent="0.35">
      <c r="A16" s="242" t="s">
        <v>448</v>
      </c>
      <c r="B16" s="243"/>
      <c r="C16" s="244"/>
      <c r="D16" s="227" t="str">
        <f>IF(B4="","",IF(AND(D5="Micropool Extended Detention",(B4+H15)&lt;10),"Yes",IF(AND(D5="Wet Pond",(B4+H15)&lt;25),"Yes",IF(AND(D5="Wet Extended Detention",(B4+H15)&lt;25),"Yes",IF(AND(D5="Multiple Pond System",(B4+H15)&lt;25),"Yes","No")))))</f>
        <v/>
      </c>
      <c r="E16" s="401" t="str">
        <f>IF(D16="","",IF(AND(D5="Micropool Extended Detention",D16="Yes",B4&gt;=5),"Water Balance Calculation required",IF(AND(D5="Wet Pond",D16="Yes",B4&gt;=10),"Water Balance Calculation required",IF(AND(D5="Wet Extended Detention",D16="Yes",B4&gt;=10),"Water Balance Calculation required",IF(AND(D5="Multiple Pond System",D16="Yes",B4&gt;=10),"Water Balance Calculation required",IF(AND(D5="Micropool Extended Detention",D16="Yes",B4&lt;5),"Does not meet feasibility criteria",IF(AND(D5="Wet Pond",D16="Yes",B4&lt;10),"Does not meet feasibility criteria",IF(AND(D5="Wet Extended Detention",D16="Yes",B4&lt;10),"Does not meet feasibility criteria",IF(AND(D5="Multiple Pond System",D16="Yes",B4&lt;10),"Does not meet feasibility criteria","")))))))))</f>
        <v/>
      </c>
      <c r="F16" s="402"/>
      <c r="G16" s="402"/>
      <c r="H16" s="405"/>
      <c r="I16" s="148"/>
      <c r="K16" s="12">
        <f>IF(D5="Micropool Extended Detention",D39,0)</f>
        <v>0</v>
      </c>
      <c r="L16" s="12" t="s">
        <v>2</v>
      </c>
      <c r="N16" s="148"/>
      <c r="P16" s="12">
        <f>IF(D5="Wet Pond",D39,0)</f>
        <v>0</v>
      </c>
      <c r="Q16" s="12" t="s">
        <v>2</v>
      </c>
    </row>
    <row r="17" spans="1:17" s="1" customFormat="1" ht="14.5" x14ac:dyDescent="0.35">
      <c r="A17" s="242" t="s">
        <v>449</v>
      </c>
      <c r="B17" s="243"/>
      <c r="C17" s="244"/>
      <c r="D17" s="211"/>
      <c r="E17" s="401" t="str">
        <f>IF(AND(D5="Micropool Extended Detention",D17="Yes"),"Size outlet structure to detain WQv for 12 hrs",IF(AND(D5="Wet Pond",D17="Yes"),"This practice is strongly discouraged in trout streams. Size outlet structure to detain WQv for 12 hrs",IF(AND(D5="Wet Extended Detention",D17="Yes"),"This practice is strongly discouraged in trout streams. Size outlet structure to detain WQv for 12 hrs",IF(AND(D5="Multiple Pond System",D17="Yes"),"This practice is strongly discouraged in trout streams. Size outlet structure to detain WQv for 12 hrs",""))))</f>
        <v/>
      </c>
      <c r="F17" s="402"/>
      <c r="G17" s="402"/>
      <c r="H17" s="405"/>
      <c r="I17" s="149"/>
      <c r="J17" s="12"/>
      <c r="K17" s="12" t="str">
        <f>IF(D44="Micropool Extended Detention",D78,0)</f>
        <v/>
      </c>
      <c r="L17" s="12" t="s">
        <v>2</v>
      </c>
      <c r="N17" s="149"/>
      <c r="O17" s="12"/>
      <c r="P17" s="12">
        <f>IF(D44="Wet Pond",D78,0)</f>
        <v>0</v>
      </c>
      <c r="Q17" s="12" t="s">
        <v>2</v>
      </c>
    </row>
    <row r="18" spans="1:17" s="1" customFormat="1" ht="15.65" customHeight="1" x14ac:dyDescent="0.35">
      <c r="A18" s="242" t="s">
        <v>450</v>
      </c>
      <c r="B18" s="243"/>
      <c r="C18" s="244"/>
      <c r="D18" s="211"/>
      <c r="E18" s="401" t="str">
        <f>IF(D18="No","Does not meet conveyance criteria","")</f>
        <v/>
      </c>
      <c r="F18" s="402"/>
      <c r="G18" s="402"/>
      <c r="H18" s="405"/>
      <c r="I18" s="255"/>
      <c r="J18" s="256"/>
      <c r="K18" s="12" t="str">
        <f>IF(D88="Micropool Extended Detention",D122,0)</f>
        <v/>
      </c>
      <c r="L18" s="12" t="s">
        <v>2</v>
      </c>
      <c r="N18" s="255"/>
      <c r="O18" s="256"/>
      <c r="P18" s="12">
        <f>IF(D88="Wet Pond",D122,0)</f>
        <v>0</v>
      </c>
      <c r="Q18" s="12" t="s">
        <v>2</v>
      </c>
    </row>
    <row r="19" spans="1:17" s="1" customFormat="1" ht="15.65" customHeight="1" x14ac:dyDescent="0.35">
      <c r="A19" s="242" t="s">
        <v>451</v>
      </c>
      <c r="B19" s="243"/>
      <c r="C19" s="244"/>
      <c r="D19" s="211"/>
      <c r="E19" s="401" t="str">
        <f>IF(D19="No","Does not meet conveyance criteria","")</f>
        <v/>
      </c>
      <c r="F19" s="402"/>
      <c r="G19" s="402"/>
      <c r="H19" s="405"/>
      <c r="I19" s="255"/>
      <c r="J19" s="256"/>
      <c r="K19" s="12" t="str">
        <f>IF(D132="Micropool Extended Detention",D166,0)</f>
        <v/>
      </c>
      <c r="L19" s="12" t="s">
        <v>2</v>
      </c>
      <c r="N19" s="255"/>
      <c r="O19" s="256"/>
      <c r="P19" s="12">
        <f>IF(D132="Wet Pond",D166,0)</f>
        <v>0</v>
      </c>
      <c r="Q19" s="12" t="s">
        <v>2</v>
      </c>
    </row>
    <row r="20" spans="1:17" s="1" customFormat="1" ht="27" customHeight="1" x14ac:dyDescent="0.35">
      <c r="A20" s="242" t="s">
        <v>452</v>
      </c>
      <c r="B20" s="243"/>
      <c r="C20" s="244"/>
      <c r="D20" s="211"/>
      <c r="E20" s="401" t="str">
        <f>IF(D20="No","Does not meet pretreatment criteria","")</f>
        <v/>
      </c>
      <c r="F20" s="402"/>
      <c r="G20" s="402"/>
      <c r="H20" s="405"/>
      <c r="I20" s="255"/>
      <c r="J20" s="256"/>
      <c r="K20" s="12" t="str">
        <f>IF(D175="Micropool Extended Detention",D209,0)</f>
        <v/>
      </c>
      <c r="L20" s="12" t="s">
        <v>2</v>
      </c>
      <c r="N20" s="255"/>
      <c r="O20" s="256"/>
      <c r="P20" s="12">
        <f>IF(D175="Wet Pond",D209,0)</f>
        <v>0</v>
      </c>
      <c r="Q20" s="12" t="s">
        <v>2</v>
      </c>
    </row>
    <row r="21" spans="1:17" s="1" customFormat="1" ht="15.65" customHeight="1" x14ac:dyDescent="0.35">
      <c r="A21" s="242" t="s">
        <v>453</v>
      </c>
      <c r="B21" s="243"/>
      <c r="C21" s="244"/>
      <c r="D21" s="43"/>
      <c r="E21" s="401" t="str">
        <f>IF(D21="","",IF(D21&lt;1,"Does not meet design criteria",""))</f>
        <v/>
      </c>
      <c r="F21" s="402"/>
      <c r="G21" s="402"/>
      <c r="H21" s="405"/>
      <c r="I21" s="397" t="s">
        <v>122</v>
      </c>
      <c r="J21" s="397"/>
      <c r="K21" s="397"/>
      <c r="L21" s="397"/>
      <c r="N21" s="397" t="s">
        <v>124</v>
      </c>
      <c r="O21" s="397"/>
      <c r="P21" s="397"/>
      <c r="Q21" s="397"/>
    </row>
    <row r="22" spans="1:17" s="1" customFormat="1" ht="15" customHeight="1" x14ac:dyDescent="0.35">
      <c r="A22" s="242" t="s">
        <v>454</v>
      </c>
      <c r="B22" s="243"/>
      <c r="C22" s="244"/>
      <c r="D22" s="43"/>
      <c r="E22" s="401" t="str">
        <f>IF(D22="","",IF(D22&lt;=3,"Safety bench or fence required",""))</f>
        <v/>
      </c>
      <c r="F22" s="402"/>
      <c r="G22" s="402"/>
      <c r="H22" s="405"/>
      <c r="I22" s="255" t="s">
        <v>219</v>
      </c>
      <c r="J22" s="256"/>
      <c r="K22" s="49">
        <f>SUM(K23:K27)</f>
        <v>0</v>
      </c>
      <c r="L22" s="12" t="s">
        <v>223</v>
      </c>
      <c r="N22" s="255" t="s">
        <v>219</v>
      </c>
      <c r="O22" s="256"/>
      <c r="P22" s="49">
        <f>SUM(P23:P27)</f>
        <v>0</v>
      </c>
      <c r="Q22" s="12" t="s">
        <v>223</v>
      </c>
    </row>
    <row r="23" spans="1:17" s="1" customFormat="1" ht="15" customHeight="1" x14ac:dyDescent="0.35">
      <c r="A23" s="242" t="s">
        <v>455</v>
      </c>
      <c r="B23" s="243"/>
      <c r="C23" s="244"/>
      <c r="D23" s="43"/>
      <c r="E23" s="401" t="str">
        <f>IF(D23&gt;15,"Does not meet design criteria","")</f>
        <v/>
      </c>
      <c r="F23" s="402"/>
      <c r="G23" s="402"/>
      <c r="H23" s="405"/>
      <c r="I23" s="233"/>
      <c r="J23" s="234"/>
      <c r="K23" s="12">
        <f>IF(D5="Wet Extended Detention",B4,0)</f>
        <v>0</v>
      </c>
      <c r="L23" s="12" t="s">
        <v>223</v>
      </c>
      <c r="N23" s="233"/>
      <c r="O23" s="234"/>
      <c r="P23" s="12">
        <f>IF(D5="Multiple Pond System",B4,0)</f>
        <v>0</v>
      </c>
      <c r="Q23" s="12" t="s">
        <v>223</v>
      </c>
    </row>
    <row r="24" spans="1:17" s="1" customFormat="1" ht="14.5" x14ac:dyDescent="0.35">
      <c r="A24" s="242" t="s">
        <v>456</v>
      </c>
      <c r="B24" s="243"/>
      <c r="C24" s="244"/>
      <c r="D24" s="43"/>
      <c r="E24" s="401" t="str">
        <f>IF(D24="","",IF(D24&lt;3,"Does not meet design criteria",""))</f>
        <v/>
      </c>
      <c r="F24" s="402"/>
      <c r="G24" s="402"/>
      <c r="H24" s="405"/>
      <c r="I24" s="233"/>
      <c r="J24" s="234"/>
      <c r="K24" s="12">
        <f>IF(D44="Wet Extended Detention",B43,0)</f>
        <v>0</v>
      </c>
      <c r="L24" s="12" t="s">
        <v>223</v>
      </c>
      <c r="N24" s="233"/>
      <c r="O24" s="234"/>
      <c r="P24" s="12">
        <f>IF(D44="Multiple Pond System",B43,0)</f>
        <v>0</v>
      </c>
      <c r="Q24" s="12" t="s">
        <v>223</v>
      </c>
    </row>
    <row r="25" spans="1:17" s="1" customFormat="1" ht="14.5" x14ac:dyDescent="0.35">
      <c r="A25" s="242" t="s">
        <v>457</v>
      </c>
      <c r="B25" s="243"/>
      <c r="C25" s="244"/>
      <c r="D25" s="43"/>
      <c r="E25" s="401" t="str">
        <f>IF(D25="","",IF(D25&lt;10,"Does not meet design criteria",""))</f>
        <v/>
      </c>
      <c r="F25" s="402"/>
      <c r="G25" s="402"/>
      <c r="H25" s="405"/>
      <c r="I25" s="396"/>
      <c r="J25" s="383"/>
      <c r="K25" s="12">
        <f>IF(D88="Wet Extended Detention",B87,0)</f>
        <v>0</v>
      </c>
      <c r="L25" s="12" t="s">
        <v>223</v>
      </c>
      <c r="N25" s="396"/>
      <c r="O25" s="383"/>
      <c r="P25" s="12">
        <f>IF(D88="Multiple Pond System",B87,0)</f>
        <v>0</v>
      </c>
      <c r="Q25" s="12" t="s">
        <v>223</v>
      </c>
    </row>
    <row r="26" spans="1:17" s="1" customFormat="1" ht="14.5" x14ac:dyDescent="0.35">
      <c r="A26" s="242" t="s">
        <v>458</v>
      </c>
      <c r="B26" s="243"/>
      <c r="C26" s="244"/>
      <c r="D26" s="43"/>
      <c r="E26" s="401" t="str">
        <f>IF(D26="","",IF(D26&lt;15,"Does not meet design criteria",""))</f>
        <v/>
      </c>
      <c r="F26" s="402"/>
      <c r="G26" s="402"/>
      <c r="H26" s="405"/>
      <c r="I26" s="233"/>
      <c r="J26" s="234"/>
      <c r="K26" s="12">
        <f>IF(D132="Wet Extended Detention",B131,0)</f>
        <v>0</v>
      </c>
      <c r="L26" s="12" t="s">
        <v>223</v>
      </c>
      <c r="N26" s="233"/>
      <c r="O26" s="234"/>
      <c r="P26" s="12">
        <f>IF(D132="Multiple Pond System",B131,0)</f>
        <v>0</v>
      </c>
      <c r="Q26" s="12" t="s">
        <v>223</v>
      </c>
    </row>
    <row r="27" spans="1:17" s="1" customFormat="1" ht="14.5" x14ac:dyDescent="0.35">
      <c r="A27" s="242" t="s">
        <v>459</v>
      </c>
      <c r="B27" s="243"/>
      <c r="C27" s="244"/>
      <c r="D27" s="43"/>
      <c r="E27" s="401" t="str">
        <f>IF(D27&gt;18,"Does not meet design criteria","")</f>
        <v/>
      </c>
      <c r="F27" s="402"/>
      <c r="G27" s="402"/>
      <c r="H27" s="405"/>
      <c r="I27" s="255"/>
      <c r="J27" s="256"/>
      <c r="K27" s="12">
        <f>IF(D175="Wet Extended Detention",B174,0)</f>
        <v>0</v>
      </c>
      <c r="L27" s="12" t="s">
        <v>223</v>
      </c>
      <c r="N27" s="255"/>
      <c r="O27" s="256"/>
      <c r="P27" s="12">
        <f>IF(D175="Multiple Pond System",B174,0)</f>
        <v>0</v>
      </c>
      <c r="Q27" s="12" t="s">
        <v>223</v>
      </c>
    </row>
    <row r="28" spans="1:17" s="1" customFormat="1" ht="14.5" x14ac:dyDescent="0.35">
      <c r="A28" s="242" t="s">
        <v>460</v>
      </c>
      <c r="B28" s="243"/>
      <c r="C28" s="244"/>
      <c r="D28" s="43"/>
      <c r="E28" s="401" t="str">
        <f>IF(D28&gt;15,"Does not meet design criteria","")</f>
        <v/>
      </c>
      <c r="F28" s="402"/>
      <c r="G28" s="402"/>
      <c r="H28" s="405"/>
      <c r="I28" s="255" t="s">
        <v>245</v>
      </c>
      <c r="J28" s="256"/>
      <c r="K28" s="21">
        <f>SUM(K29:K33)</f>
        <v>0</v>
      </c>
      <c r="L28" s="12" t="s">
        <v>223</v>
      </c>
      <c r="N28" s="255" t="s">
        <v>245</v>
      </c>
      <c r="O28" s="256"/>
      <c r="P28" s="21">
        <f>SUM(P29:P33)</f>
        <v>0</v>
      </c>
      <c r="Q28" s="12" t="s">
        <v>223</v>
      </c>
    </row>
    <row r="29" spans="1:17" s="1" customFormat="1" ht="15" customHeight="1" x14ac:dyDescent="0.35">
      <c r="A29" s="242" t="s">
        <v>461</v>
      </c>
      <c r="B29" s="243"/>
      <c r="C29" s="244"/>
      <c r="D29" s="43"/>
      <c r="E29" s="401" t="str">
        <f>IF(D29="","",IF(D29&lt;12,"Does not meet design criteria",""))</f>
        <v/>
      </c>
      <c r="F29" s="402"/>
      <c r="G29" s="402"/>
      <c r="H29" s="405"/>
      <c r="I29" s="233"/>
      <c r="J29" s="234"/>
      <c r="K29" s="12">
        <f>IF(D5="Wet Extended Detention",C4,0)</f>
        <v>0</v>
      </c>
      <c r="L29" s="12" t="s">
        <v>223</v>
      </c>
      <c r="N29" s="233"/>
      <c r="O29" s="234"/>
      <c r="P29" s="12">
        <f>IF(D5="Multiple Pond System",C4,0)</f>
        <v>0</v>
      </c>
      <c r="Q29" s="12" t="s">
        <v>223</v>
      </c>
    </row>
    <row r="30" spans="1:17" s="1" customFormat="1" ht="15" customHeight="1" x14ac:dyDescent="0.35">
      <c r="A30" s="242" t="s">
        <v>462</v>
      </c>
      <c r="B30" s="243"/>
      <c r="C30" s="244"/>
      <c r="D30" s="43"/>
      <c r="E30" s="401" t="str">
        <f>IF(D30="","",IF(AND(D5="Micropool Extended Detention",D30&lt;4),"Does not meet sizing criteria",IF(AND(D5="Micropool Extended Detention",D30&gt;6),"Does not meet sizing criteria",IF(AND(D5="Wet Pond",D30&lt;3),"Does not meet sizing criteria",IF(AND(D5="Wet Pond",D30&gt;8),"Does not meet sizing criteria",IF(AND(D5="Wet Extended Detention",D30&lt;3),"Does not meet sizing criteria",IF(AND(D5="Wet Extended Detention",D30&gt;8),"Does not meet sizing criteria",IF(AND(D5="Multiple Pond System",D30&lt;3),"Does not meet sizing criteria",IF(AND(D5="Multiple Pond System",D30&gt;8),"Does not meet sizing criteria","")))))))))</f>
        <v/>
      </c>
      <c r="F30" s="402"/>
      <c r="G30" s="402"/>
      <c r="H30" s="405"/>
      <c r="I30" s="233"/>
      <c r="J30" s="234"/>
      <c r="K30" s="12">
        <f>IF(D44="Wet Extended Detention",C43,0)</f>
        <v>0</v>
      </c>
      <c r="L30" s="12" t="s">
        <v>223</v>
      </c>
      <c r="N30" s="233"/>
      <c r="O30" s="234"/>
      <c r="P30" s="12">
        <f>IF(D44="Multiple Pond System",C43,0)</f>
        <v>0</v>
      </c>
      <c r="Q30" s="12" t="s">
        <v>223</v>
      </c>
    </row>
    <row r="31" spans="1:17" s="1" customFormat="1" ht="26.25" customHeight="1" x14ac:dyDescent="0.35">
      <c r="A31" s="242" t="s">
        <v>463</v>
      </c>
      <c r="B31" s="243"/>
      <c r="C31" s="244"/>
      <c r="D31" s="135" t="str">
        <f>IF(D16="No",D30,IF(AND(D5="Micropool Extended Detention",D16="Yes"),(48+5+10.1)/12,IF(AND(D5="Wet Pond",D16="Yes"),(36+5+10.1)/12,IF(AND(D5="Wet Extended Detention",D16="Yes"),(36+5+10.1)/12,IF(AND(D5="Multiple Pond System",D16="Yes"),(36+5+10.1)/12,"")))))</f>
        <v/>
      </c>
      <c r="E31" s="401" t="str">
        <f>IF(D30="","",IF(D31&gt;D30,"Does not meet sizing criteria",""))</f>
        <v/>
      </c>
      <c r="F31" s="402"/>
      <c r="G31" s="402"/>
      <c r="H31" s="405"/>
      <c r="I31" s="396"/>
      <c r="J31" s="383"/>
      <c r="K31" s="12">
        <f>IF(D88="Wet Extended Detention",C87,0)</f>
        <v>0</v>
      </c>
      <c r="L31" s="12" t="s">
        <v>223</v>
      </c>
      <c r="N31" s="396"/>
      <c r="O31" s="383"/>
      <c r="P31" s="12">
        <f>IF(D88="Multiple Pond System",C87,0)</f>
        <v>0</v>
      </c>
      <c r="Q31" s="12" t="s">
        <v>223</v>
      </c>
    </row>
    <row r="32" spans="1:17" ht="15" customHeight="1" x14ac:dyDescent="0.35">
      <c r="A32" s="241" t="s">
        <v>232</v>
      </c>
      <c r="B32" s="241"/>
      <c r="C32" s="241"/>
      <c r="D32" s="241"/>
      <c r="E32" s="241"/>
      <c r="F32" s="241"/>
      <c r="G32" s="241"/>
      <c r="H32" s="241"/>
      <c r="I32" s="233"/>
      <c r="J32" s="234"/>
      <c r="K32" s="12">
        <f>IF(D132="Wet Extended Detention",C131,0)</f>
        <v>0</v>
      </c>
      <c r="L32" s="12" t="s">
        <v>223</v>
      </c>
      <c r="N32" s="233"/>
      <c r="O32" s="234"/>
      <c r="P32" s="12">
        <f>IF(D132="Multiple Pond System",C131,0)</f>
        <v>0</v>
      </c>
      <c r="Q32" s="12" t="s">
        <v>223</v>
      </c>
    </row>
    <row r="33" spans="1:17" s="34" customFormat="1" ht="15" customHeight="1" x14ac:dyDescent="0.3">
      <c r="A33" s="378"/>
      <c r="B33" s="379"/>
      <c r="C33" s="380"/>
      <c r="D33" s="222" t="s">
        <v>256</v>
      </c>
      <c r="E33" s="208" t="s">
        <v>257</v>
      </c>
      <c r="F33" s="375" t="s">
        <v>258</v>
      </c>
      <c r="G33" s="376"/>
      <c r="H33" s="377"/>
      <c r="I33" s="255"/>
      <c r="J33" s="256"/>
      <c r="K33" s="12">
        <f>IF(D175="Wet Extended Detention",C174,0)</f>
        <v>0</v>
      </c>
      <c r="L33" s="12" t="s">
        <v>223</v>
      </c>
      <c r="M33" s="4"/>
      <c r="N33" s="255"/>
      <c r="O33" s="256"/>
      <c r="P33" s="12">
        <f>IF(D175="Multiple Pond System",C174,0)</f>
        <v>0</v>
      </c>
      <c r="Q33" s="12" t="s">
        <v>223</v>
      </c>
    </row>
    <row r="34" spans="1:17" ht="15" customHeight="1" x14ac:dyDescent="0.35">
      <c r="A34" s="266" t="s">
        <v>464</v>
      </c>
      <c r="B34" s="267"/>
      <c r="C34" s="268"/>
      <c r="D34" s="212" t="str">
        <f>F4</f>
        <v/>
      </c>
      <c r="E34" s="193" t="s">
        <v>2</v>
      </c>
      <c r="F34" s="403"/>
      <c r="G34" s="403"/>
      <c r="H34" s="403"/>
      <c r="I34" s="255" t="s">
        <v>447</v>
      </c>
      <c r="J34" s="256"/>
      <c r="K34" s="28">
        <f>SUM(K35:K39)</f>
        <v>0</v>
      </c>
      <c r="L34" s="12" t="s">
        <v>2</v>
      </c>
      <c r="N34" s="255" t="s">
        <v>447</v>
      </c>
      <c r="O34" s="256"/>
      <c r="P34" s="28">
        <f>SUM(P35:P39)</f>
        <v>0</v>
      </c>
      <c r="Q34" s="12" t="s">
        <v>2</v>
      </c>
    </row>
    <row r="35" spans="1:17" ht="12.75" customHeight="1" x14ac:dyDescent="0.35">
      <c r="A35" s="266" t="s">
        <v>465</v>
      </c>
      <c r="B35" s="267"/>
      <c r="C35" s="268"/>
      <c r="D35" s="210"/>
      <c r="E35" s="193" t="s">
        <v>2</v>
      </c>
      <c r="F35" s="401" t="str">
        <f>IF(D34="","",IF(D20="No","Does not meet pretreatment criteria",IF(D35&lt;0.1*D34,"Does not meet pretreatment criteria",IF(AND(D12="Yes",D35&lt;D34),"Does not meet pretreatment criteria",IF(AND(D11="Yes",D12="Yes",D35&lt;D34),"Does not meet pretreatment criteria","")))))</f>
        <v/>
      </c>
      <c r="G35" s="402"/>
      <c r="H35" s="405"/>
      <c r="I35" s="148"/>
      <c r="J35" s="1"/>
      <c r="K35" s="12">
        <f>IF(D5="Wet Extended Detention",D39,0)</f>
        <v>0</v>
      </c>
      <c r="L35" s="12" t="s">
        <v>2</v>
      </c>
      <c r="N35" s="148"/>
      <c r="O35" s="1"/>
      <c r="P35" s="12">
        <f>IF(D5="Multiple Pond System",D39,0)</f>
        <v>0</v>
      </c>
      <c r="Q35" s="12" t="s">
        <v>2</v>
      </c>
    </row>
    <row r="36" spans="1:17" ht="27" customHeight="1" x14ac:dyDescent="0.35">
      <c r="A36" s="266" t="s">
        <v>466</v>
      </c>
      <c r="B36" s="267"/>
      <c r="C36" s="268"/>
      <c r="D36" s="210"/>
      <c r="E36" s="193" t="s">
        <v>2</v>
      </c>
      <c r="F36" s="401" t="str">
        <f>IF(D36="","If forebay is used for pretreatment, include pretreatment volume",IF(AND(D5="Micropool Extended Detention",D36&lt;0.2*D34),"Does not meet sizing criteria",IF(AND(D5="Wet Pond",D36&lt;D34),"Does not meet sizing criteria",IF(AND(D5="Wet Extended Detention",D36&lt;0.5*D34),"Does not meet sizing criteria",IF(AND(D5="Multiple Pond System",D36&lt;0.5*D34),"Does not meet sizing criteria","")))))</f>
        <v>If forebay is used for pretreatment, include pretreatment volume</v>
      </c>
      <c r="G36" s="402"/>
      <c r="H36" s="405"/>
      <c r="I36" s="149"/>
      <c r="K36" s="12">
        <f>IF(D44="Wet Extended Detention",D78,0)</f>
        <v>0</v>
      </c>
      <c r="L36" s="12" t="s">
        <v>2</v>
      </c>
      <c r="N36" s="149"/>
      <c r="P36" s="12">
        <f>IF(D44="Multiple Pond System",D78,0)</f>
        <v>0</v>
      </c>
      <c r="Q36" s="12" t="s">
        <v>2</v>
      </c>
    </row>
    <row r="37" spans="1:17" ht="13" x14ac:dyDescent="0.35">
      <c r="A37" s="266" t="s">
        <v>467</v>
      </c>
      <c r="B37" s="267"/>
      <c r="C37" s="268"/>
      <c r="D37" s="210"/>
      <c r="E37" s="193" t="s">
        <v>2</v>
      </c>
      <c r="F37" s="403" t="str">
        <f>IF(D34="","",IF(AND(D5="Micropool Extended Detention",D37&gt;0.8*D34),"Does not meet sizing criteria",IF(AND(D5="Wet Pond",D37&gt;0),"Does not meet sizing criteria",IF(AND(D5="Wet Extended Detention",D37&gt;0.5*D34),"Does not meet sizing criteria",IF(AND(D5="Multiple Pond System",D37&gt;0.5*D34),"Does not meet sizing criteria","")))))</f>
        <v/>
      </c>
      <c r="G37" s="403"/>
      <c r="H37" s="403"/>
      <c r="I37" s="255"/>
      <c r="J37" s="256"/>
      <c r="K37" s="12">
        <f>IF(D88="Wet Extended Detention",D122,0)</f>
        <v>0</v>
      </c>
      <c r="L37" s="12" t="s">
        <v>2</v>
      </c>
      <c r="N37" s="255"/>
      <c r="O37" s="256"/>
      <c r="P37" s="12">
        <f>IF(D88="Multiple Pond System",D122,0)</f>
        <v>0</v>
      </c>
      <c r="Q37" s="12" t="s">
        <v>2</v>
      </c>
    </row>
    <row r="38" spans="1:17" s="145" customFormat="1" ht="15" customHeight="1" x14ac:dyDescent="0.35">
      <c r="A38" s="390" t="s">
        <v>468</v>
      </c>
      <c r="B38" s="390"/>
      <c r="C38" s="390"/>
      <c r="D38" s="390"/>
      <c r="E38" s="390"/>
      <c r="F38" s="390"/>
      <c r="G38" s="390"/>
      <c r="H38" s="390"/>
      <c r="I38" s="255"/>
      <c r="J38" s="256"/>
      <c r="K38" s="12">
        <f>IF(D132="Wet Extended Detention",D166,0)</f>
        <v>0</v>
      </c>
      <c r="L38" s="12" t="s">
        <v>2</v>
      </c>
      <c r="N38" s="255"/>
      <c r="O38" s="256"/>
      <c r="P38" s="12">
        <f>IF(D132="Multiple Pond System",D166,0)</f>
        <v>0</v>
      </c>
      <c r="Q38" s="12" t="s">
        <v>2</v>
      </c>
    </row>
    <row r="39" spans="1:17" ht="20.65" customHeight="1" x14ac:dyDescent="0.35">
      <c r="A39" s="398" t="s">
        <v>469</v>
      </c>
      <c r="B39" s="399"/>
      <c r="C39" s="400"/>
      <c r="D39" s="150" t="str">
        <f>IF(B4="","",IF(D7="Yes",0,IF(D8&gt;15,0,IF(AND(D9&gt;0.014,D10="No"),0,IF(AND(D11="Yes",D13&lt;2),0,IF(AND(D12="Yes",D13&lt;2),0,IF(AND(D5="Micropool Extended Detention",B4&lt;5),0,IF(AND(D5="Wet Pond",B4&lt;10),0,IF(AND(D5="Wet Extended Detention",B4&lt;10),0,IF(AND(D5="Multiple Pond System",B4&lt;10),0,IF(D18="No",0,IF(D19="No",0,IF(D20="No",0,IF(D21&lt;1,0,IF(D22&lt;3,0,IF(D23&gt;15,0,IF(D24&lt;3,0,IF(D25&lt;10,0,IF(D26&lt;15,0,IF(D27&gt;18,0,IF(D28&gt;15,0,IF(D29&lt;12,0,IF(D31&gt;D30,0,IF(AND(D5="Micropool Extended Detention",D30&lt;4),0,IF(AND(D5="Micropool Extended Detention",D30&gt;6),0,IF(AND(D5="Wet Pond",D30&lt;3),0,IF(AND(D5="Wet Pond",D30&gt;8),0,IF(AND(D5="Wet Extended Detention",D30&lt;3),0,IF(AND(D5="Wet Extended Detention",D30&gt;8),0,IF(AND(D5="Multiple Pond System",D30&lt;3),0,IF(AND(D5="Multiple Pond System",D30&gt;8),0,IF(D35&lt;0.1*D34,0,IF(AND(D12="Yes",D35&lt;D34),0,IF(AND(D5="Micropool Extended Detention",D36&lt;0.2*D34),0,IF(AND(D5="Wet Pond",D36&lt;D34),0,IF(AND(D5="Wet Extended Detention",D36&lt;0.5*D34),0,IF(AND(D5="Multiple Pond System",D36&lt;0.5*D34),0,IF(AND(D5="Micropool Extended Detention",D37&gt;0.8*D34),0,IF(AND(D5="Wet Pond",D37&gt;0),0,IF(AND(D5="Wet Extended Detention",D37&gt;0.5*D34),0,IF(AND(D5="Multiple Pond System",D37&gt;0.5*D34),0,IF((D36+D37)&lt;D34,0,F4))))))))))))))))))))))))))))))))))))))))))</f>
        <v/>
      </c>
      <c r="E39" s="398" t="s">
        <v>2</v>
      </c>
      <c r="F39" s="399"/>
      <c r="G39" s="399"/>
      <c r="H39" s="400"/>
      <c r="I39" s="255"/>
      <c r="J39" s="256"/>
      <c r="K39" s="12">
        <f>IF(D175="Wet Extended Detention",D209,0)</f>
        <v>0</v>
      </c>
      <c r="L39" s="12" t="s">
        <v>2</v>
      </c>
      <c r="N39" s="255"/>
      <c r="O39" s="256"/>
      <c r="P39" s="12">
        <f>IF(D175="Multiple Pond System",D209,0)</f>
        <v>0</v>
      </c>
      <c r="Q39" s="12" t="s">
        <v>2</v>
      </c>
    </row>
    <row r="40" spans="1:17" ht="13" x14ac:dyDescent="0.35">
      <c r="A40" s="16" t="s">
        <v>56</v>
      </c>
      <c r="B40" s="225" t="str">
        <f>IF('STEP 2-WQv Calculation'!$B$4="","",'STEP 2-WQv Calculation'!$B$4)</f>
        <v/>
      </c>
      <c r="C40" s="199"/>
      <c r="D40" s="199"/>
      <c r="E40" s="199"/>
      <c r="F40" s="199"/>
      <c r="G40" s="199"/>
      <c r="H40" s="199"/>
    </row>
    <row r="41" spans="1:17" ht="13" x14ac:dyDescent="0.35">
      <c r="A41" s="241" t="s">
        <v>293</v>
      </c>
      <c r="B41" s="241"/>
      <c r="C41" s="241"/>
      <c r="D41" s="241"/>
      <c r="E41" s="241"/>
      <c r="F41" s="241"/>
      <c r="G41" s="241"/>
      <c r="H41" s="241"/>
    </row>
    <row r="42" spans="1:17" ht="38.5" x14ac:dyDescent="0.35">
      <c r="A42" s="204" t="s">
        <v>60</v>
      </c>
      <c r="B42" s="205" t="s">
        <v>61</v>
      </c>
      <c r="C42" s="205" t="s">
        <v>62</v>
      </c>
      <c r="D42" s="205" t="s">
        <v>63</v>
      </c>
      <c r="E42" s="205" t="s">
        <v>64</v>
      </c>
      <c r="F42" s="205" t="s">
        <v>65</v>
      </c>
      <c r="G42" s="205" t="s">
        <v>244</v>
      </c>
      <c r="H42" s="206" t="s">
        <v>13</v>
      </c>
    </row>
    <row r="43" spans="1:17" ht="26.25" customHeight="1" x14ac:dyDescent="0.35">
      <c r="A43" s="218"/>
      <c r="B43" s="3" t="str">
        <f>IF($A43="","",(LOOKUP($A43,'STEP 2-WQv Calculation'!$A$8:$A$37,'STEP 2-WQv Calculation'!$B$8:$B$37)))</f>
        <v/>
      </c>
      <c r="C43" s="3" t="str">
        <f>IF($A43="","",(LOOKUP($A43,'STEP 2-WQv Calculation'!$A$8:$A$37,'STEP 2-WQv Calculation'!$C$8:$C$37)))</f>
        <v/>
      </c>
      <c r="D43" s="212" t="str">
        <f>IF($A43="","",(LOOKUP($A43,'STEP 2-WQv Calculation'!$A$8:$A$37,'STEP 2-WQv Calculation'!$D$8:$D$37)))</f>
        <v/>
      </c>
      <c r="E43" s="3" t="str">
        <f>IF($A43="","",(LOOKUP($A43,'STEP 2-WQv Calculation'!$A$8:$A$37,'STEP 2-WQv Calculation'!$E$8:$E$37)))</f>
        <v/>
      </c>
      <c r="F43" s="217" t="str">
        <f>IF($A43="","",(LOOKUP($A43,'STEP 2-WQv Calculation'!$A$8:$A$37,'STEP 2-WQv Calculation'!$F$8:$F$37)))</f>
        <v/>
      </c>
      <c r="G43" s="22">
        <f>'STEP 2-WQv Calculation'!B5</f>
        <v>0</v>
      </c>
      <c r="H43" s="198" t="str">
        <f>IF($A43="","",(LOOKUP($A43,'STEP 2-WQv Calculation'!$A$8:$A$37,'STEP 2-WQv Calculation'!$G$8:$G$37)))</f>
        <v/>
      </c>
    </row>
    <row r="44" spans="1:17" x14ac:dyDescent="0.35">
      <c r="A44" s="242" t="s">
        <v>439</v>
      </c>
      <c r="B44" s="243"/>
      <c r="C44" s="244"/>
      <c r="D44" s="364" t="s">
        <v>118</v>
      </c>
      <c r="E44" s="365"/>
      <c r="F44" s="365"/>
      <c r="G44" s="365"/>
      <c r="H44" s="366"/>
    </row>
    <row r="45" spans="1:17" ht="13" x14ac:dyDescent="0.3">
      <c r="A45" s="273" t="s">
        <v>226</v>
      </c>
      <c r="B45" s="273"/>
      <c r="C45" s="273"/>
      <c r="D45" s="273"/>
      <c r="E45" s="273"/>
      <c r="F45" s="273"/>
      <c r="G45" s="273"/>
      <c r="H45" s="273"/>
    </row>
    <row r="46" spans="1:17" x14ac:dyDescent="0.35">
      <c r="A46" s="242" t="s">
        <v>440</v>
      </c>
      <c r="B46" s="243"/>
      <c r="C46" s="244"/>
      <c r="D46" s="211"/>
      <c r="E46" s="401" t="str">
        <f>IF(D46="YES", "Does not meet feasibility criteria","")</f>
        <v/>
      </c>
      <c r="F46" s="402"/>
      <c r="G46" s="402"/>
      <c r="H46" s="405"/>
    </row>
    <row r="47" spans="1:17" x14ac:dyDescent="0.35">
      <c r="A47" s="242" t="s">
        <v>441</v>
      </c>
      <c r="B47" s="243"/>
      <c r="C47" s="244"/>
      <c r="D47" s="43"/>
      <c r="E47" s="401" t="str">
        <f>IF(D47&gt;15,"Does not meet feasibility criteria","")</f>
        <v/>
      </c>
      <c r="F47" s="402"/>
      <c r="G47" s="402"/>
      <c r="H47" s="405"/>
    </row>
    <row r="48" spans="1:17" ht="25.5" customHeight="1" x14ac:dyDescent="0.35">
      <c r="A48" s="242" t="s">
        <v>442</v>
      </c>
      <c r="B48" s="243"/>
      <c r="C48" s="244"/>
      <c r="D48" s="43"/>
      <c r="E48" s="401" t="str">
        <f>IF(D48="","If an impermeable liner is provided, enter 0 in/hr",IF(D48&gt;0.014,"Does not meet feasibility criteria, provide an impermeable liner",""))</f>
        <v>If an impermeable liner is provided, enter 0 in/hr</v>
      </c>
      <c r="F48" s="402"/>
      <c r="G48" s="402"/>
      <c r="H48" s="405"/>
    </row>
    <row r="49" spans="1:8" x14ac:dyDescent="0.35">
      <c r="A49" s="242" t="s">
        <v>443</v>
      </c>
      <c r="B49" s="243"/>
      <c r="C49" s="244"/>
      <c r="D49" s="211"/>
      <c r="E49" s="401" t="str">
        <f>IF(AND(D48&gt;0.014,D49="No"),"Does not meet feasibility criteria","")</f>
        <v/>
      </c>
      <c r="F49" s="402"/>
      <c r="G49" s="402"/>
      <c r="H49" s="405"/>
    </row>
    <row r="50" spans="1:8" x14ac:dyDescent="0.35">
      <c r="A50" s="242" t="s">
        <v>444</v>
      </c>
      <c r="B50" s="243"/>
      <c r="C50" s="244"/>
      <c r="D50" s="211"/>
      <c r="E50" s="401"/>
      <c r="F50" s="402"/>
      <c r="G50" s="402"/>
      <c r="H50" s="405"/>
    </row>
    <row r="51" spans="1:8" x14ac:dyDescent="0.35">
      <c r="A51" s="242" t="s">
        <v>445</v>
      </c>
      <c r="B51" s="243"/>
      <c r="C51" s="244"/>
      <c r="D51" s="211"/>
      <c r="E51" s="401" t="str">
        <f>IF(AND(D50="Yes",D51="Yes"),"Provide 100% pretreatment","")</f>
        <v/>
      </c>
      <c r="F51" s="402"/>
      <c r="G51" s="402"/>
      <c r="H51" s="405"/>
    </row>
    <row r="52" spans="1:8" x14ac:dyDescent="0.35">
      <c r="A52" s="242" t="s">
        <v>296</v>
      </c>
      <c r="B52" s="243"/>
      <c r="C52" s="244"/>
      <c r="D52" s="43"/>
      <c r="E52" s="401" t="str">
        <f>IF(D52="","",IF(AND(D50="Yes",D52&lt;2),"Does not meet feasibility criteria",IF(AND(D51="Yes",D52&lt;2),"Does not meet feasibility criteria","")))</f>
        <v/>
      </c>
      <c r="F52" s="402"/>
      <c r="G52" s="402"/>
      <c r="H52" s="405"/>
    </row>
    <row r="53" spans="1:8" x14ac:dyDescent="0.35">
      <c r="A53" s="242" t="s">
        <v>446</v>
      </c>
      <c r="B53" s="243"/>
      <c r="C53" s="244"/>
      <c r="D53" s="43"/>
      <c r="E53" s="401"/>
      <c r="F53" s="402"/>
      <c r="G53" s="402"/>
      <c r="H53" s="405"/>
    </row>
    <row r="54" spans="1:8" ht="25.5" customHeight="1" x14ac:dyDescent="0.35">
      <c r="A54" s="242" t="s">
        <v>711</v>
      </c>
      <c r="B54" s="406"/>
      <c r="C54" s="407"/>
      <c r="D54" s="218"/>
      <c r="E54" s="218"/>
      <c r="F54" s="218"/>
      <c r="G54" s="198" t="s">
        <v>712</v>
      </c>
      <c r="H54" s="198">
        <f>IF($D54="",0,(LOOKUP($D54,'STEP 2-WQv Calculation'!$A$8:$A$37,'STEP 2-WQv Calculation'!$B$8:$B$37)))+IF($E54="",0,(LOOKUP($E54,'STEP 2-WQv Calculation'!$A$8:$A$37,'STEP 2-WQv Calculation'!$B$8:$B$37)))+IF($F54="",0,(LOOKUP($F54,'STEP 2-WQv Calculation'!$A$8:$A$37,'STEP 2-WQv Calculation'!$B$8:$B$37)))</f>
        <v>0</v>
      </c>
    </row>
    <row r="55" spans="1:8" ht="25.5" customHeight="1" x14ac:dyDescent="0.35">
      <c r="A55" s="242" t="s">
        <v>448</v>
      </c>
      <c r="B55" s="243"/>
      <c r="C55" s="244"/>
      <c r="D55" s="227" t="str">
        <f>IF(B43="","",IF(AND(D44="Micropool Extended Detention",(B43+H54)&lt;10),"Yes",IF(AND(D44="Wet Pond",(B43+H54)&lt;25),"Yes",IF(AND(D44="Wet Extended Detention",(B43+H54)&lt;25),"Yes",IF(AND(D44="Multiple Pond System",(B43+H54)&lt;25),"Yes","No")))))</f>
        <v/>
      </c>
      <c r="E55" s="401" t="str">
        <f>IF(D55="","",IF(AND(D44="Micropool Extended Detention",D55="Yes",B43&gt;=5),"Water Balance Calculation required",IF(AND(D44="Wet Pond",D55="Yes",B43&gt;=10),"Water Balance Calculation required",IF(AND(D44="Wet Extended Detention",D55="Yes",B43&gt;=10),"Water Balance Calculation required",IF(AND(D44="Multiple Pond System",D55="Yes",B43&gt;=10),"Water Balance Calculation required",IF(AND(D44="Micropool Extended Detention",D55="Yes",B43&lt;5),"Does not meet feasibility criteria",IF(AND(D44="Wet Pond",D55="Yes",B43&lt;10),"Does not meet feasibility criteria",IF(AND(D44="Wet Extended Detention",D55="Yes",B43&lt;10),"Does not meet feasibility criteria",IF(AND(D44="Multiple Pond System",D55="Yes",B43&lt;10),"Does not meet feasibility criteria","")))))))))</f>
        <v/>
      </c>
      <c r="F55" s="402"/>
      <c r="G55" s="402"/>
      <c r="H55" s="405"/>
    </row>
    <row r="56" spans="1:8" x14ac:dyDescent="0.35">
      <c r="A56" s="242" t="s">
        <v>449</v>
      </c>
      <c r="B56" s="243"/>
      <c r="C56" s="244"/>
      <c r="D56" s="211"/>
      <c r="E56" s="401" t="str">
        <f>IF(AND(D44="Micropool Extended Detention",D56="Yes"),"Size outlet structure to detain WQv for 12 hrs",IF(AND(D44="Wet Pond",D56="Yes"),"This practice is strongly discouraged in trout streams. Size outlet structure to detain WQv for 12 hrs",IF(AND(D44="Wet Extended Detention",D56="Yes"),"This practice is strongly discouraged in trout streams. Size outlet structure to detain WQv for 12 hrs",IF(AND(D44="Multiple Pond System",D56="Yes"),"This practice is strongly discouraged in trout streams. Size outlet structure to detain WQv for 12 hrs",""))))</f>
        <v/>
      </c>
      <c r="F56" s="402"/>
      <c r="G56" s="402"/>
      <c r="H56" s="405"/>
    </row>
    <row r="57" spans="1:8" x14ac:dyDescent="0.35">
      <c r="A57" s="242" t="s">
        <v>450</v>
      </c>
      <c r="B57" s="243"/>
      <c r="C57" s="244"/>
      <c r="D57" s="211"/>
      <c r="E57" s="401" t="str">
        <f>IF(D57="No","Does not meet conveyance criteria","")</f>
        <v/>
      </c>
      <c r="F57" s="402"/>
      <c r="G57" s="402"/>
      <c r="H57" s="405"/>
    </row>
    <row r="58" spans="1:8" ht="25.5" customHeight="1" x14ac:dyDescent="0.35">
      <c r="A58" s="242" t="s">
        <v>451</v>
      </c>
      <c r="B58" s="243"/>
      <c r="C58" s="244"/>
      <c r="D58" s="211"/>
      <c r="E58" s="401" t="str">
        <f>IF(D58="No","Does not meet conveyance criteria","")</f>
        <v/>
      </c>
      <c r="F58" s="402"/>
      <c r="G58" s="402"/>
      <c r="H58" s="405"/>
    </row>
    <row r="59" spans="1:8" x14ac:dyDescent="0.35">
      <c r="A59" s="242" t="s">
        <v>452</v>
      </c>
      <c r="B59" s="243"/>
      <c r="C59" s="244"/>
      <c r="D59" s="211"/>
      <c r="E59" s="401" t="str">
        <f>IF(D59="No","Does not meet pretreatment criteria","")</f>
        <v/>
      </c>
      <c r="F59" s="402"/>
      <c r="G59" s="402"/>
      <c r="H59" s="405"/>
    </row>
    <row r="60" spans="1:8" x14ac:dyDescent="0.35">
      <c r="A60" s="242" t="s">
        <v>453</v>
      </c>
      <c r="B60" s="243"/>
      <c r="C60" s="244"/>
      <c r="D60" s="43"/>
      <c r="E60" s="401" t="str">
        <f>IF(D60="","",IF(D60&lt;1,"Does not meet design criteria",""))</f>
        <v/>
      </c>
      <c r="F60" s="402"/>
      <c r="G60" s="402"/>
      <c r="H60" s="405"/>
    </row>
    <row r="61" spans="1:8" x14ac:dyDescent="0.35">
      <c r="A61" s="242" t="s">
        <v>454</v>
      </c>
      <c r="B61" s="243"/>
      <c r="C61" s="244"/>
      <c r="D61" s="43"/>
      <c r="E61" s="401" t="str">
        <f>IF(D61="","",IF(D61&lt;=3,"Safety bench or fence required",""))</f>
        <v/>
      </c>
      <c r="F61" s="402"/>
      <c r="G61" s="402"/>
      <c r="H61" s="405"/>
    </row>
    <row r="62" spans="1:8" x14ac:dyDescent="0.35">
      <c r="A62" s="242" t="s">
        <v>455</v>
      </c>
      <c r="B62" s="243"/>
      <c r="C62" s="244"/>
      <c r="D62" s="43"/>
      <c r="E62" s="401" t="str">
        <f>IF(D62&gt;15,"Does not meet design criteria","")</f>
        <v/>
      </c>
      <c r="F62" s="402"/>
      <c r="G62" s="402"/>
      <c r="H62" s="405"/>
    </row>
    <row r="63" spans="1:8" x14ac:dyDescent="0.35">
      <c r="A63" s="242" t="s">
        <v>456</v>
      </c>
      <c r="B63" s="243"/>
      <c r="C63" s="244"/>
      <c r="D63" s="43"/>
      <c r="E63" s="401" t="str">
        <f>IF(D63="","",IF(D63&lt;3,"Does not meet design criteria",""))</f>
        <v/>
      </c>
      <c r="F63" s="402"/>
      <c r="G63" s="402"/>
      <c r="H63" s="405"/>
    </row>
    <row r="64" spans="1:8" x14ac:dyDescent="0.35">
      <c r="A64" s="242" t="s">
        <v>457</v>
      </c>
      <c r="B64" s="243"/>
      <c r="C64" s="244"/>
      <c r="D64" s="43"/>
      <c r="E64" s="401" t="str">
        <f>IF(D64="","",IF(D64&lt;10,"Does not meet design criteria",""))</f>
        <v/>
      </c>
      <c r="F64" s="402"/>
      <c r="G64" s="402"/>
      <c r="H64" s="405"/>
    </row>
    <row r="65" spans="1:15" x14ac:dyDescent="0.35">
      <c r="A65" s="242" t="s">
        <v>458</v>
      </c>
      <c r="B65" s="243"/>
      <c r="C65" s="244"/>
      <c r="D65" s="43"/>
      <c r="E65" s="401" t="str">
        <f>IF(D65="","",IF(D65&lt;15,"Does not meet design criteria",""))</f>
        <v/>
      </c>
      <c r="F65" s="402"/>
      <c r="G65" s="402"/>
      <c r="H65" s="405"/>
    </row>
    <row r="66" spans="1:15" x14ac:dyDescent="0.35">
      <c r="A66" s="242" t="s">
        <v>459</v>
      </c>
      <c r="B66" s="243"/>
      <c r="C66" s="244"/>
      <c r="D66" s="43"/>
      <c r="E66" s="401" t="str">
        <f>IF(D66&gt;18,"Does not meet design criteria","")</f>
        <v/>
      </c>
      <c r="F66" s="402"/>
      <c r="G66" s="402"/>
      <c r="H66" s="405"/>
    </row>
    <row r="67" spans="1:15" x14ac:dyDescent="0.35">
      <c r="A67" s="242" t="s">
        <v>460</v>
      </c>
      <c r="B67" s="243"/>
      <c r="C67" s="244"/>
      <c r="D67" s="43"/>
      <c r="E67" s="401" t="str">
        <f>IF(D67&gt;15,"Does not meet design criteria","")</f>
        <v/>
      </c>
      <c r="F67" s="402"/>
      <c r="G67" s="402"/>
      <c r="H67" s="405"/>
    </row>
    <row r="68" spans="1:15" x14ac:dyDescent="0.35">
      <c r="A68" s="242" t="s">
        <v>461</v>
      </c>
      <c r="B68" s="243"/>
      <c r="C68" s="244"/>
      <c r="D68" s="43"/>
      <c r="E68" s="401" t="str">
        <f>IF(D68="","",IF(D68&lt;12,"Does not meet design criteria",""))</f>
        <v/>
      </c>
      <c r="F68" s="402"/>
      <c r="G68" s="402"/>
      <c r="H68" s="405"/>
    </row>
    <row r="69" spans="1:15" ht="26.25" customHeight="1" x14ac:dyDescent="0.35">
      <c r="A69" s="242" t="s">
        <v>462</v>
      </c>
      <c r="B69" s="243"/>
      <c r="C69" s="244"/>
      <c r="D69" s="43"/>
      <c r="E69" s="401" t="str">
        <f>IF(D69="","",IF(AND(D44="Micropool Extended Detention",D69&lt;4),"Does not meet sizing criteria",IF(AND(D44="Micropool Extended Detention",D69&gt;6),"Does not meet sizing criteria",IF(AND(D44="Wet Pond",D69&lt;3),"Does not meet sizing criteria",IF(AND(D44="Wet Pond",D69&gt;8),"Does not meet sizing criteria",IF(AND(D44="Wet Extended Detention",D69&lt;3),"Does not meet sizing criteria",IF(AND(D44="Wet Extended Detention",D69&gt;8),"Does not meet sizing criteria",IF(AND(D44="Multiple Pond System",D69&lt;3),"Does not meet sizing criteria",IF(AND(D44="Multiple Pond System",D69&gt;8),"Does not meet sizing criteria","")))))))))</f>
        <v/>
      </c>
      <c r="F69" s="402"/>
      <c r="G69" s="402"/>
      <c r="H69" s="405"/>
    </row>
    <row r="70" spans="1:15" x14ac:dyDescent="0.35">
      <c r="A70" s="242" t="s">
        <v>463</v>
      </c>
      <c r="B70" s="243"/>
      <c r="C70" s="244"/>
      <c r="D70" s="135" t="str">
        <f>IF(D55="No",D69,IF(AND(D44="Micropool Extended Detention",D55="Yes"),(48+5+10.1)/12,IF(AND(D44="Wet Pond",D55="Yes"),(36+5+10.1)/12,IF(AND(D44="Wet Extended Detention",D55="Yes"),(36+5+10.1)/12,IF(AND(D44="Multiple Pond System",D55="Yes"),(36+5+10.1)/12,"")))))</f>
        <v/>
      </c>
      <c r="E70" s="401" t="str">
        <f>IF(D69="","",IF(D70&gt;D69,"Does not meet sizing criteria",""))</f>
        <v/>
      </c>
      <c r="F70" s="402"/>
      <c r="G70" s="402"/>
      <c r="H70" s="402"/>
    </row>
    <row r="71" spans="1:15" ht="13" x14ac:dyDescent="0.35">
      <c r="A71" s="241" t="s">
        <v>232</v>
      </c>
      <c r="B71" s="241"/>
      <c r="C71" s="241"/>
      <c r="D71" s="241"/>
      <c r="E71" s="241"/>
      <c r="F71" s="241"/>
      <c r="G71" s="241"/>
      <c r="H71" s="236"/>
    </row>
    <row r="72" spans="1:15" x14ac:dyDescent="0.35">
      <c r="A72" s="378"/>
      <c r="B72" s="379"/>
      <c r="C72" s="380"/>
      <c r="D72" s="222" t="s">
        <v>256</v>
      </c>
      <c r="E72" s="208" t="s">
        <v>257</v>
      </c>
      <c r="F72" s="375" t="s">
        <v>258</v>
      </c>
      <c r="G72" s="376"/>
      <c r="H72" s="376"/>
    </row>
    <row r="73" spans="1:15" x14ac:dyDescent="0.35">
      <c r="A73" s="266" t="s">
        <v>464</v>
      </c>
      <c r="B73" s="267"/>
      <c r="C73" s="268"/>
      <c r="D73" s="212" t="str">
        <f>F43</f>
        <v/>
      </c>
      <c r="E73" s="193" t="s">
        <v>2</v>
      </c>
      <c r="F73" s="403"/>
      <c r="G73" s="403"/>
      <c r="H73" s="401"/>
    </row>
    <row r="74" spans="1:15" ht="26.25" customHeight="1" x14ac:dyDescent="0.35">
      <c r="A74" s="266" t="s">
        <v>465</v>
      </c>
      <c r="B74" s="267"/>
      <c r="C74" s="268"/>
      <c r="D74" s="210"/>
      <c r="E74" s="193" t="s">
        <v>2</v>
      </c>
      <c r="F74" s="401" t="str">
        <f>IF(D73="","",IF(D59="No","Does not meet pretreatment criteria",IF(D74&lt;0.1*D73,"Does not meet pretreatment criteria",IF(AND(D50="Yes",D74&lt;D73),"Does not meet pretreatment criteria",IF(AND(D49="Yes",D50="Yes",D74&lt;D73),"Does not meet pretreatment criteria","")))))</f>
        <v/>
      </c>
      <c r="G74" s="402"/>
      <c r="H74" s="405"/>
    </row>
    <row r="75" spans="1:15" x14ac:dyDescent="0.35">
      <c r="A75" s="266" t="s">
        <v>466</v>
      </c>
      <c r="B75" s="267"/>
      <c r="C75" s="268"/>
      <c r="D75" s="210"/>
      <c r="E75" s="193" t="s">
        <v>2</v>
      </c>
      <c r="F75" s="401" t="str">
        <f>IF(D75="","If forebay is used for pretreatment, include pretreatment volume",IF(AND(D44="Micropool Extended Detention",D75&lt;0.2*D73),"Does not meet sizing criteria",IF(AND(D44="Wet Pond",D75&lt;D73),"Does not meet sizing criteria",IF(AND(D44="Wet Extended Detention",D75&lt;0.5*D73),"Does not meet sizing criteria",IF(AND(D44="Multiple Pond System",D75&lt;0.5*D73),"Does not meet sizing criteria","")))))</f>
        <v>If forebay is used for pretreatment, include pretreatment volume</v>
      </c>
      <c r="G75" s="402"/>
      <c r="H75" s="402"/>
    </row>
    <row r="76" spans="1:15" x14ac:dyDescent="0.35">
      <c r="A76" s="266" t="s">
        <v>467</v>
      </c>
      <c r="B76" s="267"/>
      <c r="C76" s="268"/>
      <c r="D76" s="210"/>
      <c r="E76" s="193" t="s">
        <v>2</v>
      </c>
      <c r="F76" s="403" t="str">
        <f>IF(D73="","",IF(AND(D44="Micropool Extended Detention",D76&gt;0.8*D73),"Does not meet sizing criteria",IF(AND(D44="Wet Pond",D76&gt;0),"Does not meet sizing criteria",IF(AND(D44="Wet Extended Detention",D76&gt;0.5*D73),"Does not meet sizing criteria",IF(AND(D44="Multiple Pond System",D76&gt;0.5*D73),"Does not meet sizing criteria","")))))</f>
        <v/>
      </c>
      <c r="G76" s="403"/>
      <c r="H76" s="401"/>
    </row>
    <row r="77" spans="1:15" ht="20.65" customHeight="1" x14ac:dyDescent="0.35">
      <c r="A77" s="390" t="s">
        <v>468</v>
      </c>
      <c r="B77" s="390"/>
      <c r="C77" s="390"/>
      <c r="D77" s="390"/>
      <c r="E77" s="390"/>
      <c r="F77" s="390"/>
      <c r="G77" s="390"/>
      <c r="H77" s="404"/>
      <c r="I77" s="256"/>
      <c r="J77" s="256"/>
      <c r="N77" s="256"/>
      <c r="O77" s="256"/>
    </row>
    <row r="78" spans="1:15" ht="13" x14ac:dyDescent="0.35">
      <c r="A78" s="398" t="s">
        <v>469</v>
      </c>
      <c r="B78" s="399"/>
      <c r="C78" s="400"/>
      <c r="D78" s="150" t="str">
        <f>IF(B43="","",IF(D46="Yes",0,IF(D47&gt;15,0,IF(AND(D48&gt;0.014,D49="No"),0,IF(AND(D50="Yes",D52&lt;2),0,IF(AND(D51="Yes",D52&lt;2),0,IF(AND(D44="Micropool Extended Detention",B43&lt;5),0,IF(AND(D44="Wet Pond",B43&lt;10),0,IF(AND(D44="Wet Extended Detention",B43&lt;10),0,IF(AND(D44="Multiple Pond System",B43&lt;10),0,IF(D57="No",0,IF(D58="No",0,IF(D59="No",0,IF(D60&lt;1,0,IF(D61&lt;3,0,IF(D62&gt;15,0,IF(D63&lt;3,0,IF(D64&lt;10,0,IF(D65&lt;15,0,IF(D66&gt;18,0,IF(D67&gt;15,0,IF(D68&lt;12,0,IF(D70&gt;D69,0,IF(AND(D44="Micropool Extended Detention",D69&lt;4),0,IF(AND(D44="Micropool Extended Detention",D69&gt;6),0,IF(AND(D44="Wet Pond",D69&lt;3),0,IF(AND(D44="Wet Pond",D69&gt;8),0,IF(AND(D44="Wet Extended Detention",D69&lt;3),0,IF(AND(D44="Wet Extended Detention",D69&gt;8),0,IF(AND(D44="Multiple Pond System",D69&lt;3),0,IF(AND(D44="Multiple Pond System",D69&gt;8),0,IF(D74&lt;0.1*D73,0,IF(AND(D51="Yes",D74&lt;D73),0,IF(AND(D44="Micropool Extended Detention",D75&lt;0.2*D73),0,IF(AND(D44="Wet Pond",D75&lt;D73),0,IF(AND(D44="Wet Extended Detention",D75&lt;0.5*D73),0,IF(AND(D44="Multiple Pond System",D75&lt;0.5*D73),0,IF(AND(D44="Micropool Extended Detention",D76&gt;0.8*D73),0,IF(AND(D44="Wet Pond",D76&gt;0),0,IF(AND(D44="Wet Extended Detention",D76&gt;0.5*D73),0,IF(AND(D44="Multiple Pond System",D76&gt;0.5*D73),0,IF((D75+D76)&lt;D73,0,F43))))))))))))))))))))))))))))))))))))))))))</f>
        <v/>
      </c>
      <c r="E78" s="398" t="s">
        <v>2</v>
      </c>
      <c r="F78" s="399"/>
      <c r="G78" s="399"/>
      <c r="H78" s="399"/>
    </row>
    <row r="84" spans="1:8" ht="13" x14ac:dyDescent="0.35">
      <c r="A84" s="16" t="s">
        <v>56</v>
      </c>
      <c r="B84" s="225" t="str">
        <f>IF('STEP 2-WQv Calculation'!$B$4="","",'STEP 2-WQv Calculation'!$B$4)</f>
        <v/>
      </c>
      <c r="C84" s="199"/>
      <c r="D84" s="199"/>
      <c r="E84" s="199"/>
      <c r="F84" s="199"/>
      <c r="G84" s="199"/>
      <c r="H84" s="199"/>
    </row>
    <row r="85" spans="1:8" ht="13" x14ac:dyDescent="0.35">
      <c r="A85" s="241" t="s">
        <v>293</v>
      </c>
      <c r="B85" s="241"/>
      <c r="C85" s="241"/>
      <c r="D85" s="241"/>
      <c r="E85" s="241"/>
      <c r="F85" s="241"/>
      <c r="G85" s="241"/>
      <c r="H85" s="241"/>
    </row>
    <row r="86" spans="1:8" ht="25.5" customHeight="1" x14ac:dyDescent="0.35">
      <c r="A86" s="204" t="s">
        <v>60</v>
      </c>
      <c r="B86" s="205" t="s">
        <v>61</v>
      </c>
      <c r="C86" s="205" t="s">
        <v>62</v>
      </c>
      <c r="D86" s="205" t="s">
        <v>63</v>
      </c>
      <c r="E86" s="205" t="s">
        <v>64</v>
      </c>
      <c r="F86" s="205" t="s">
        <v>65</v>
      </c>
      <c r="G86" s="205" t="s">
        <v>244</v>
      </c>
      <c r="H86" s="206" t="s">
        <v>13</v>
      </c>
    </row>
    <row r="87" spans="1:8" x14ac:dyDescent="0.35">
      <c r="A87" s="218"/>
      <c r="B87" s="3" t="str">
        <f>IF($A87="","",(LOOKUP($A87,'STEP 2-WQv Calculation'!$A$8:$A$37,'STEP 2-WQv Calculation'!$B$8:$B$37)))</f>
        <v/>
      </c>
      <c r="C87" s="3" t="str">
        <f>IF($A87="","",(LOOKUP($A87,'STEP 2-WQv Calculation'!$A$8:$A$37,'STEP 2-WQv Calculation'!$C$8:$C$37)))</f>
        <v/>
      </c>
      <c r="D87" s="212" t="str">
        <f>IF($A87="","",(LOOKUP($A87,'STEP 2-WQv Calculation'!$A$8:$A$37,'STEP 2-WQv Calculation'!$D$8:$D$37)))</f>
        <v/>
      </c>
      <c r="E87" s="3" t="str">
        <f>IF($A87="","",(LOOKUP($A87,'STEP 2-WQv Calculation'!$A$8:$A$37,'STEP 2-WQv Calculation'!$E$8:$E$37)))</f>
        <v/>
      </c>
      <c r="F87" s="217" t="str">
        <f>IF($A87="","",(LOOKUP($A87,'STEP 2-WQv Calculation'!$A$8:$A$37,'STEP 2-WQv Calculation'!$F$8:$F$37)))</f>
        <v/>
      </c>
      <c r="G87" s="22">
        <f>'STEP 2-WQv Calculation'!B5</f>
        <v>0</v>
      </c>
      <c r="H87" s="198" t="str">
        <f>IF($A87="","",(LOOKUP($A87,'STEP 2-WQv Calculation'!$A$8:$A$37,'STEP 2-WQv Calculation'!$G$8:$G$37)))</f>
        <v/>
      </c>
    </row>
    <row r="88" spans="1:8" x14ac:dyDescent="0.35">
      <c r="A88" s="242" t="s">
        <v>439</v>
      </c>
      <c r="B88" s="243"/>
      <c r="C88" s="244"/>
      <c r="D88" s="364" t="s">
        <v>118</v>
      </c>
      <c r="E88" s="365"/>
      <c r="F88" s="365"/>
      <c r="G88" s="365"/>
      <c r="H88" s="366"/>
    </row>
    <row r="89" spans="1:8" ht="13" x14ac:dyDescent="0.3">
      <c r="A89" s="273" t="s">
        <v>226</v>
      </c>
      <c r="B89" s="273"/>
      <c r="C89" s="273"/>
      <c r="D89" s="273"/>
      <c r="E89" s="273"/>
      <c r="F89" s="273"/>
      <c r="G89" s="273"/>
      <c r="H89" s="273"/>
    </row>
    <row r="90" spans="1:8" x14ac:dyDescent="0.35">
      <c r="A90" s="242" t="s">
        <v>440</v>
      </c>
      <c r="B90" s="243"/>
      <c r="C90" s="244"/>
      <c r="D90" s="211"/>
      <c r="E90" s="401" t="str">
        <f>IF(D90="YES", "Does not meet feasibility criteria","")</f>
        <v/>
      </c>
      <c r="F90" s="402"/>
      <c r="G90" s="402"/>
      <c r="H90" s="405"/>
    </row>
    <row r="91" spans="1:8" ht="25.5" customHeight="1" x14ac:dyDescent="0.35">
      <c r="A91" s="242" t="s">
        <v>441</v>
      </c>
      <c r="B91" s="243"/>
      <c r="C91" s="244"/>
      <c r="D91" s="43"/>
      <c r="E91" s="401" t="str">
        <f>IF(D91&gt;15,"Does not meet feasibility criteria","")</f>
        <v/>
      </c>
      <c r="F91" s="402"/>
      <c r="G91" s="402"/>
      <c r="H91" s="405"/>
    </row>
    <row r="92" spans="1:8" x14ac:dyDescent="0.35">
      <c r="A92" s="242" t="s">
        <v>442</v>
      </c>
      <c r="B92" s="243"/>
      <c r="C92" s="244"/>
      <c r="D92" s="43"/>
      <c r="E92" s="401" t="str">
        <f>IF(D92="","If an impermeable liner is provided, enter 0 in/hr",IF(D92&gt;0.014,"Does not meet feasibility criteria, provide an impermeable liner",""))</f>
        <v>If an impermeable liner is provided, enter 0 in/hr</v>
      </c>
      <c r="F92" s="402"/>
      <c r="G92" s="402"/>
      <c r="H92" s="405"/>
    </row>
    <row r="93" spans="1:8" x14ac:dyDescent="0.35">
      <c r="A93" s="242" t="s">
        <v>443</v>
      </c>
      <c r="B93" s="243"/>
      <c r="C93" s="244"/>
      <c r="D93" s="211"/>
      <c r="E93" s="401" t="str">
        <f>IF(AND(D92&gt;0.014,D93="No"),"Does not meet feasibility criteria","")</f>
        <v/>
      </c>
      <c r="F93" s="402"/>
      <c r="G93" s="402"/>
      <c r="H93" s="405"/>
    </row>
    <row r="94" spans="1:8" x14ac:dyDescent="0.35">
      <c r="A94" s="242" t="s">
        <v>444</v>
      </c>
      <c r="B94" s="243"/>
      <c r="C94" s="244"/>
      <c r="D94" s="211"/>
      <c r="E94" s="401"/>
      <c r="F94" s="402"/>
      <c r="G94" s="402"/>
      <c r="H94" s="405"/>
    </row>
    <row r="95" spans="1:8" x14ac:dyDescent="0.35">
      <c r="A95" s="242" t="s">
        <v>445</v>
      </c>
      <c r="B95" s="243"/>
      <c r="C95" s="244"/>
      <c r="D95" s="211"/>
      <c r="E95" s="401" t="str">
        <f>IF(AND(D94="Yes",D95="Yes"),"Provide 100% pretreatment","")</f>
        <v/>
      </c>
      <c r="F95" s="402"/>
      <c r="G95" s="402"/>
      <c r="H95" s="405"/>
    </row>
    <row r="96" spans="1:8" x14ac:dyDescent="0.35">
      <c r="A96" s="242" t="s">
        <v>296</v>
      </c>
      <c r="B96" s="243"/>
      <c r="C96" s="244"/>
      <c r="D96" s="43"/>
      <c r="E96" s="401" t="str">
        <f>IF(D96="","",IF(AND(D94="Yes",D96&lt;2),"Does not meet feasibility criteria",IF(AND(D95="Yes",D96&lt;2),"Does not meet feasibility criteria","")))</f>
        <v/>
      </c>
      <c r="F96" s="402"/>
      <c r="G96" s="402"/>
      <c r="H96" s="405"/>
    </row>
    <row r="97" spans="1:8" ht="25.5" customHeight="1" x14ac:dyDescent="0.35">
      <c r="A97" s="242" t="s">
        <v>446</v>
      </c>
      <c r="B97" s="243"/>
      <c r="C97" s="244"/>
      <c r="D97" s="43"/>
      <c r="E97" s="401"/>
      <c r="F97" s="402"/>
      <c r="G97" s="402"/>
      <c r="H97" s="405"/>
    </row>
    <row r="98" spans="1:8" ht="24" customHeight="1" x14ac:dyDescent="0.35">
      <c r="A98" s="242" t="s">
        <v>711</v>
      </c>
      <c r="B98" s="406"/>
      <c r="C98" s="407"/>
      <c r="D98" s="218"/>
      <c r="E98" s="218"/>
      <c r="F98" s="218"/>
      <c r="G98" s="198" t="s">
        <v>712</v>
      </c>
      <c r="H98" s="198">
        <f>IF($D98="",0,(LOOKUP($D98,'STEP 2-WQv Calculation'!$A$8:$A$37,'STEP 2-WQv Calculation'!$B$8:$B$37)))+IF($E98="",0,(LOOKUP($E98,'STEP 2-WQv Calculation'!$A$8:$A$37,'STEP 2-WQv Calculation'!$B$8:$B$37)))+IF($F98="",0,(LOOKUP($F98,'STEP 2-WQv Calculation'!$A$8:$A$37,'STEP 2-WQv Calculation'!$B$8:$B$37)))</f>
        <v>0</v>
      </c>
    </row>
    <row r="99" spans="1:8" ht="12.75" customHeight="1" x14ac:dyDescent="0.35">
      <c r="A99" s="242" t="s">
        <v>448</v>
      </c>
      <c r="B99" s="243"/>
      <c r="C99" s="244"/>
      <c r="D99" s="227" t="str">
        <f>IF(B87="","",IF(AND(D88="Micropool Extended Detention",(B87+H98)&lt;10),"Yes",IF(AND(D88="Wet Pond",(B87+H98)&lt;25),"Yes",IF(AND(D88="Wet Extended Detention",(B87+H98)&lt;25),"Yes",IF(AND(D88="Multiple Pond System",(B87+H98)&lt;25),"Yes","No")))))</f>
        <v/>
      </c>
      <c r="E99" s="401" t="str">
        <f>IF(D99="","",IF(AND(D88="Micropool Extended Detention",D99="Yes",B87&gt;=5),"Water Balance Calculation required",IF(AND(D88="Wet Pond",D99="Yes",B87&gt;=10),"Water Balance Calculation required",IF(AND(D88="Wet Extended Detention",D99="Yes",B87&gt;=10),"Water Balance Calculation required",IF(AND(D88="Multiple Pond System",D99="Yes",B87&gt;=10),"Water Balance Calculation required",IF(AND(D88="Micropool Extended Detention",D99="Yes",B87&lt;5),"Does not meet feasibility criteria",IF(AND(D88="Wet Pond",D99="Yes",B87&lt;10),"Does not meet feasibility criteria",IF(AND(D88="Wet Extended Detention",D99="Yes",B87&lt;10),"Does not meet feasibility criteria",IF(AND(D88="Multiple Pond System",D99="Yes",B87&lt;10),"Does not meet feasibility criteria","")))))))))</f>
        <v/>
      </c>
      <c r="F99" s="402"/>
      <c r="G99" s="402"/>
      <c r="H99" s="405"/>
    </row>
    <row r="100" spans="1:8" x14ac:dyDescent="0.35">
      <c r="A100" s="242" t="s">
        <v>449</v>
      </c>
      <c r="B100" s="243"/>
      <c r="C100" s="244"/>
      <c r="D100" s="211"/>
      <c r="E100" s="401" t="str">
        <f>IF(AND(D88="Micropool Extended Detention",D100="Yes"),"Size outlet structure to detain WQv for 12 hrs",IF(AND(D88="Wet Pond",D100="Yes"),"This practice is strongly discouraged in trout streams. Size outlet structure to detain WQv for 12 hrs",IF(AND(D88="Wet Extended Detention",D100="Yes"),"This practice is strongly discouraged in trout streams. Size outlet structure to detain WQv for 12 hrs",IF(AND(D88="Multiple Pond System",D100="Yes"),"This practice is strongly discouraged in trout streams. Size outlet structure to detain WQv for 12 hrs",""))))</f>
        <v/>
      </c>
      <c r="F100" s="402"/>
      <c r="G100" s="402"/>
      <c r="H100" s="405"/>
    </row>
    <row r="101" spans="1:8" ht="25.5" customHeight="1" x14ac:dyDescent="0.35">
      <c r="A101" s="242" t="s">
        <v>450</v>
      </c>
      <c r="B101" s="243"/>
      <c r="C101" s="244"/>
      <c r="D101" s="211"/>
      <c r="E101" s="401" t="str">
        <f>IF(D101="No","Does not meet conveyance criteria","")</f>
        <v/>
      </c>
      <c r="F101" s="402"/>
      <c r="G101" s="402"/>
      <c r="H101" s="405"/>
    </row>
    <row r="102" spans="1:8" x14ac:dyDescent="0.35">
      <c r="A102" s="242" t="s">
        <v>451</v>
      </c>
      <c r="B102" s="243"/>
      <c r="C102" s="244"/>
      <c r="D102" s="211"/>
      <c r="E102" s="401" t="str">
        <f>IF(D102="No","Does not meet conveyance criteria","")</f>
        <v/>
      </c>
      <c r="F102" s="402"/>
      <c r="G102" s="402"/>
      <c r="H102" s="405"/>
    </row>
    <row r="103" spans="1:8" x14ac:dyDescent="0.35">
      <c r="A103" s="242" t="s">
        <v>452</v>
      </c>
      <c r="B103" s="243"/>
      <c r="C103" s="244"/>
      <c r="D103" s="211"/>
      <c r="E103" s="401" t="str">
        <f>IF(D103="No","Does not meet pretreatment criteria","")</f>
        <v/>
      </c>
      <c r="F103" s="402"/>
      <c r="G103" s="402"/>
      <c r="H103" s="405"/>
    </row>
    <row r="104" spans="1:8" x14ac:dyDescent="0.35">
      <c r="A104" s="242" t="s">
        <v>453</v>
      </c>
      <c r="B104" s="243"/>
      <c r="C104" s="244"/>
      <c r="D104" s="43"/>
      <c r="E104" s="401" t="str">
        <f>IF(D104="","",IF(D104&lt;1,"Does not meet design criteria",""))</f>
        <v/>
      </c>
      <c r="F104" s="402"/>
      <c r="G104" s="402"/>
      <c r="H104" s="405"/>
    </row>
    <row r="105" spans="1:8" x14ac:dyDescent="0.35">
      <c r="A105" s="242" t="s">
        <v>454</v>
      </c>
      <c r="B105" s="243"/>
      <c r="C105" s="244"/>
      <c r="D105" s="43"/>
      <c r="E105" s="401" t="str">
        <f>IF(D105="","",IF(D105&lt;=3,"Safety bench or fence required",""))</f>
        <v/>
      </c>
      <c r="F105" s="402"/>
      <c r="G105" s="402"/>
      <c r="H105" s="405"/>
    </row>
    <row r="106" spans="1:8" x14ac:dyDescent="0.35">
      <c r="A106" s="242" t="s">
        <v>455</v>
      </c>
      <c r="B106" s="243"/>
      <c r="C106" s="244"/>
      <c r="D106" s="43"/>
      <c r="E106" s="401" t="str">
        <f>IF(D106&gt;15,"Does not meet design criteria","")</f>
        <v/>
      </c>
      <c r="F106" s="402"/>
      <c r="G106" s="402"/>
      <c r="H106" s="405"/>
    </row>
    <row r="107" spans="1:8" x14ac:dyDescent="0.35">
      <c r="A107" s="242" t="s">
        <v>456</v>
      </c>
      <c r="B107" s="243"/>
      <c r="C107" s="244"/>
      <c r="D107" s="43"/>
      <c r="E107" s="401" t="str">
        <f>IF(D107="","",IF(D107&lt;3,"Does not meet design criteria",""))</f>
        <v/>
      </c>
      <c r="F107" s="402"/>
      <c r="G107" s="402"/>
      <c r="H107" s="405"/>
    </row>
    <row r="108" spans="1:8" x14ac:dyDescent="0.35">
      <c r="A108" s="242" t="s">
        <v>457</v>
      </c>
      <c r="B108" s="243"/>
      <c r="C108" s="244"/>
      <c r="D108" s="43"/>
      <c r="E108" s="401" t="str">
        <f>IF(D108="","",IF(D108&lt;10,"Does not meet design criteria",""))</f>
        <v/>
      </c>
      <c r="F108" s="402"/>
      <c r="G108" s="402"/>
      <c r="H108" s="405"/>
    </row>
    <row r="109" spans="1:8" x14ac:dyDescent="0.35">
      <c r="A109" s="242" t="s">
        <v>458</v>
      </c>
      <c r="B109" s="243"/>
      <c r="C109" s="244"/>
      <c r="D109" s="43"/>
      <c r="E109" s="401" t="str">
        <f>IF(D109="","",IF(D109&lt;15,"Does not meet design criteria",""))</f>
        <v/>
      </c>
      <c r="F109" s="402"/>
      <c r="G109" s="402"/>
      <c r="H109" s="405"/>
    </row>
    <row r="110" spans="1:8" x14ac:dyDescent="0.35">
      <c r="A110" s="242" t="s">
        <v>459</v>
      </c>
      <c r="B110" s="243"/>
      <c r="C110" s="244"/>
      <c r="D110" s="43"/>
      <c r="E110" s="401" t="str">
        <f>IF(D110&gt;18,"Does not meet design criteria","")</f>
        <v/>
      </c>
      <c r="F110" s="402"/>
      <c r="G110" s="402"/>
      <c r="H110" s="405"/>
    </row>
    <row r="111" spans="1:8" x14ac:dyDescent="0.35">
      <c r="A111" s="242" t="s">
        <v>460</v>
      </c>
      <c r="B111" s="243"/>
      <c r="C111" s="244"/>
      <c r="D111" s="43"/>
      <c r="E111" s="401" t="str">
        <f>IF(D111&gt;15,"Does not meet design criteria","")</f>
        <v/>
      </c>
      <c r="F111" s="402"/>
      <c r="G111" s="402"/>
      <c r="H111" s="405"/>
    </row>
    <row r="112" spans="1:8" ht="27" customHeight="1" x14ac:dyDescent="0.35">
      <c r="A112" s="242" t="s">
        <v>461</v>
      </c>
      <c r="B112" s="243"/>
      <c r="C112" s="244"/>
      <c r="D112" s="43"/>
      <c r="E112" s="401" t="str">
        <f>IF(D112="","",IF(D112&lt;12,"Does not meet design criteria",""))</f>
        <v/>
      </c>
      <c r="F112" s="402"/>
      <c r="G112" s="402"/>
      <c r="H112" s="405"/>
    </row>
    <row r="113" spans="1:15" x14ac:dyDescent="0.35">
      <c r="A113" s="242" t="s">
        <v>462</v>
      </c>
      <c r="B113" s="243"/>
      <c r="C113" s="244"/>
      <c r="D113" s="43"/>
      <c r="E113" s="401" t="str">
        <f>IF(D113="","",IF(AND(D88="Micropool Extended Detention",D113&lt;4),"Does not meet sizing criteria",IF(AND(D88="Micropool Extended Detention",D113&gt;6),"Does not meet sizing criteria",IF(AND(D88="Wet Pond",D113&lt;3),"Does not meet sizing criteria",IF(AND(D88="Wet Pond",D113&gt;8),"Does not meet sizing criteria",IF(AND(D88="Wet Extended Detention",D113&lt;3),"Does not meet sizing criteria",IF(AND(D88="Wet Extended Detention",D113&gt;8),"Does not meet sizing criteria",IF(AND(D88="Multiple Pond System",D113&lt;3),"Does not meet sizing criteria",IF(AND(D88="Multiple Pond System",D113&gt;8),"Does not meet sizing criteria","")))))))))</f>
        <v/>
      </c>
      <c r="F113" s="402"/>
      <c r="G113" s="402"/>
      <c r="H113" s="405"/>
    </row>
    <row r="114" spans="1:15" x14ac:dyDescent="0.35">
      <c r="A114" s="242" t="s">
        <v>463</v>
      </c>
      <c r="B114" s="243"/>
      <c r="C114" s="244"/>
      <c r="D114" s="135" t="str">
        <f>IF(D99="No",D113,IF(AND(D88="Micropool Extended Detention",D99="Yes"),(48+5+10.1)/12,IF(AND(D88="Wet Pond",D99="Yes"),(36+5+10.1)/12,IF(AND(D88="Wet Extended Detention",D99="Yes"),(36+5+10.1)/12,IF(AND(D88="Multiple Pond System",D99="Yes"),(36+5+10.1)/12,"")))))</f>
        <v/>
      </c>
      <c r="E114" s="401" t="str">
        <f>IF(D113="","",IF(D114&gt;D113,"Does not meet sizing criteria",""))</f>
        <v/>
      </c>
      <c r="F114" s="402"/>
      <c r="G114" s="402"/>
      <c r="H114" s="405"/>
    </row>
    <row r="115" spans="1:15" ht="13" x14ac:dyDescent="0.35">
      <c r="A115" s="241" t="s">
        <v>232</v>
      </c>
      <c r="B115" s="241"/>
      <c r="C115" s="241"/>
      <c r="D115" s="241"/>
      <c r="E115" s="241"/>
      <c r="F115" s="241"/>
      <c r="G115" s="241"/>
      <c r="H115" s="236"/>
    </row>
    <row r="116" spans="1:15" x14ac:dyDescent="0.35">
      <c r="A116" s="378"/>
      <c r="B116" s="379"/>
      <c r="C116" s="380"/>
      <c r="D116" s="222" t="s">
        <v>256</v>
      </c>
      <c r="E116" s="208" t="s">
        <v>257</v>
      </c>
      <c r="F116" s="375" t="s">
        <v>258</v>
      </c>
      <c r="G116" s="376"/>
      <c r="H116" s="376"/>
    </row>
    <row r="117" spans="1:15" ht="26.25" customHeight="1" x14ac:dyDescent="0.35">
      <c r="A117" s="266" t="s">
        <v>464</v>
      </c>
      <c r="B117" s="267"/>
      <c r="C117" s="268"/>
      <c r="D117" s="212" t="str">
        <f>F87</f>
        <v/>
      </c>
      <c r="E117" s="193" t="s">
        <v>2</v>
      </c>
      <c r="F117" s="403"/>
      <c r="G117" s="403"/>
      <c r="H117" s="401"/>
    </row>
    <row r="118" spans="1:15" x14ac:dyDescent="0.35">
      <c r="A118" s="266" t="s">
        <v>465</v>
      </c>
      <c r="B118" s="267"/>
      <c r="C118" s="268"/>
      <c r="D118" s="210"/>
      <c r="E118" s="193" t="s">
        <v>2</v>
      </c>
      <c r="F118" s="401" t="str">
        <f>IF(D117="","",IF(D103="No","Does not meet pretreatment criteria",IF(D118&lt;0.1*D117,"Does not meet pretreatment criteria",IF(AND(D94="Yes",D118&lt;D117),"Does not meet pretreatment criteria",IF(AND(D93="Yes",D94="Yes",D118&lt;D117),"Does not meet pretreatment criteria","")))))</f>
        <v/>
      </c>
      <c r="G118" s="402"/>
      <c r="H118" s="405"/>
    </row>
    <row r="119" spans="1:15" ht="13.5" customHeight="1" x14ac:dyDescent="0.35">
      <c r="A119" s="266" t="s">
        <v>466</v>
      </c>
      <c r="B119" s="267"/>
      <c r="C119" s="268"/>
      <c r="D119" s="210"/>
      <c r="E119" s="193" t="s">
        <v>2</v>
      </c>
      <c r="F119" s="401" t="str">
        <f>IF(D119="","If forebay is used for pretreatment, include pretreatment volume",IF(AND(D88="Micropool Extended Detention",D119&lt;0.2*D117),"Does not meet sizing criteria",IF(AND(D88="Wet Pond",D119&lt;D117),"Does not meet sizing criteria",IF(AND(D88="Wet Extended Detention",D119&lt;0.5*D117),"Does not meet sizing criteria",IF(AND(D88="Multiple Pond System",D119&lt;0.5*D117),"Does not meet sizing criteria","")))))</f>
        <v>If forebay is used for pretreatment, include pretreatment volume</v>
      </c>
      <c r="G119" s="402"/>
      <c r="H119" s="402"/>
    </row>
    <row r="120" spans="1:15" ht="20.65" customHeight="1" x14ac:dyDescent="0.35">
      <c r="A120" s="266" t="s">
        <v>467</v>
      </c>
      <c r="B120" s="267"/>
      <c r="C120" s="268"/>
      <c r="D120" s="210"/>
      <c r="E120" s="193" t="s">
        <v>2</v>
      </c>
      <c r="F120" s="403" t="str">
        <f>IF(D117="","",IF(AND(D88="Micropool Extended Detention",D120&gt;0.8*D117),"Does not meet sizing criteria",IF(AND(D88="Wet Pond",D120&gt;0),"Does not meet sizing criteria",IF(AND(D88="Wet Extended Detention",D120&gt;0.5*D117),"Does not meet sizing criteria",IF(AND(D88="Multiple Pond System",D120&gt;0.5*D117),"Does not meet sizing criteria","")))))</f>
        <v/>
      </c>
      <c r="G120" s="403"/>
      <c r="H120" s="401"/>
      <c r="I120" s="256"/>
      <c r="J120" s="256"/>
      <c r="N120" s="256"/>
      <c r="O120" s="256"/>
    </row>
    <row r="121" spans="1:15" ht="13" x14ac:dyDescent="0.35">
      <c r="A121" s="390" t="s">
        <v>468</v>
      </c>
      <c r="B121" s="390"/>
      <c r="C121" s="390"/>
      <c r="D121" s="390"/>
      <c r="E121" s="390"/>
      <c r="F121" s="390"/>
      <c r="G121" s="390"/>
      <c r="H121" s="404"/>
    </row>
    <row r="122" spans="1:15" ht="13" x14ac:dyDescent="0.35">
      <c r="A122" s="398" t="s">
        <v>469</v>
      </c>
      <c r="B122" s="399"/>
      <c r="C122" s="400"/>
      <c r="D122" s="150" t="str">
        <f>IF(B87="","",IF(D90="Yes",0,IF(D91&gt;15,0,IF(AND(D92&gt;0.014,D93="No"),0,IF(AND(D94="Yes",D96&lt;2),0,IF(AND(D95="Yes",D96&lt;2),0,IF(AND(D88="Micropool Extended Detention",B87&lt;5),0,IF(AND(D88="Wet Pond",B87&lt;10),0,IF(AND(D88="Wet Extended Detention",B87&lt;10),0,IF(AND(D88="Multiple Pond System",B87&lt;10),0,IF(D101="No",0,IF(D102="No",0,IF(D103="No",0,IF(D104&lt;1,0,IF(D105&lt;3,0,IF(D106&gt;15,0,IF(D107&lt;3,0,IF(D108&lt;10,0,IF(D109&lt;15,0,IF(D110&gt;18,0,IF(D111&gt;15,0,IF(D112&lt;12,0,IF(D114&gt;D113,0,IF(AND(D88="Micropool Extended Detention",D113&lt;4),0,IF(AND(D88="Micropool Extended Detention",D113&gt;6),0,IF(AND(D88="Wet Pond",D113&lt;3),0,IF(AND(D88="Wet Pond",D113&gt;8),0,IF(AND(D88="Wet Extended Detention",D113&lt;3),0,IF(AND(D88="Wet Extended Detention",D113&gt;8),0,IF(AND(D88="Multiple Pond System",D113&lt;3),0,IF(AND(D88="Multiple Pond System",D113&gt;8),0,IF(D118&lt;0.1*D117,0,IF(AND(D95="Yes",D118&lt;D117),0,IF(AND(D88="Micropool Extended Detention",D119&lt;0.2*D117),0,IF(AND(D88="Wet Pond",D119&lt;D117),0,IF(AND(D88="Wet Extended Detention",D119&lt;0.5*D117),0,IF(AND(D88="Multiple Pond System",D119&lt;0.5*D117),0,IF(AND(D88="Micropool Extended Detention",D120&gt;0.8*D117),0,IF(AND(D88="Wet Pond",D120&gt;0),0,IF(AND(D88="Wet Extended Detention",D120&gt;0.5*D117),0,IF(AND(D88="Multiple Pond System",D120&gt;0.5*D117),0,IF((D119+D120)&lt;D117,0,F87))))))))))))))))))))))))))))))))))))))))))</f>
        <v/>
      </c>
      <c r="E122" s="398" t="s">
        <v>2</v>
      </c>
      <c r="F122" s="399"/>
      <c r="G122" s="399"/>
      <c r="H122" s="399"/>
    </row>
    <row r="128" spans="1:15" ht="13" x14ac:dyDescent="0.35">
      <c r="A128" s="16" t="s">
        <v>56</v>
      </c>
      <c r="B128" s="225" t="str">
        <f>IF('STEP 2-WQv Calculation'!$B$4="","",'STEP 2-WQv Calculation'!$B$4)</f>
        <v/>
      </c>
      <c r="C128" s="199"/>
      <c r="D128" s="199"/>
      <c r="E128" s="199"/>
      <c r="F128" s="199"/>
      <c r="G128" s="199"/>
      <c r="H128" s="199"/>
    </row>
    <row r="129" spans="1:8" ht="25.5" customHeight="1" x14ac:dyDescent="0.35">
      <c r="A129" s="241" t="s">
        <v>293</v>
      </c>
      <c r="B129" s="241"/>
      <c r="C129" s="241"/>
      <c r="D129" s="241"/>
      <c r="E129" s="241"/>
      <c r="F129" s="241"/>
      <c r="G129" s="241"/>
      <c r="H129" s="236"/>
    </row>
    <row r="130" spans="1:8" ht="38.5" x14ac:dyDescent="0.35">
      <c r="A130" s="204" t="s">
        <v>60</v>
      </c>
      <c r="B130" s="205" t="s">
        <v>61</v>
      </c>
      <c r="C130" s="205" t="s">
        <v>62</v>
      </c>
      <c r="D130" s="205" t="s">
        <v>63</v>
      </c>
      <c r="E130" s="205" t="s">
        <v>64</v>
      </c>
      <c r="F130" s="205" t="s">
        <v>65</v>
      </c>
      <c r="G130" s="205" t="s">
        <v>244</v>
      </c>
      <c r="H130" s="206" t="s">
        <v>13</v>
      </c>
    </row>
    <row r="131" spans="1:8" x14ac:dyDescent="0.35">
      <c r="A131" s="218"/>
      <c r="B131" s="3" t="str">
        <f>IF($A131="","",(LOOKUP($A131,'STEP 2-WQv Calculation'!$A$8:$A$37,'STEP 2-WQv Calculation'!$B$8:$B$37)))</f>
        <v/>
      </c>
      <c r="C131" s="3" t="str">
        <f>IF($A131="","",(LOOKUP($A131,'STEP 2-WQv Calculation'!$A$8:$A$37,'STEP 2-WQv Calculation'!$C$8:$C$37)))</f>
        <v/>
      </c>
      <c r="D131" s="212" t="str">
        <f>IF($A131="","",(LOOKUP($A131,'STEP 2-WQv Calculation'!$A$8:$A$37,'STEP 2-WQv Calculation'!$D$8:$D$37)))</f>
        <v/>
      </c>
      <c r="E131" s="3" t="str">
        <f>IF($A131="","",(LOOKUP($A131,'STEP 2-WQv Calculation'!$A$8:$A$37,'STEP 2-WQv Calculation'!$E$8:$E$37)))</f>
        <v/>
      </c>
      <c r="F131" s="217" t="str">
        <f>IF($A131="","",(LOOKUP($A131,'STEP 2-WQv Calculation'!$A$8:$A$37,'STEP 2-WQv Calculation'!$F$8:$F$37)))</f>
        <v/>
      </c>
      <c r="G131" s="22">
        <f>'STEP 2-WQv Calculation'!B5</f>
        <v>0</v>
      </c>
      <c r="H131" s="198" t="str">
        <f>IF($A131="","",(LOOKUP($A131,'STEP 2-WQv Calculation'!$A$8:$A$37,'STEP 2-WQv Calculation'!$G$8:$G$37)))</f>
        <v/>
      </c>
    </row>
    <row r="132" spans="1:8" x14ac:dyDescent="0.35">
      <c r="A132" s="242" t="s">
        <v>439</v>
      </c>
      <c r="B132" s="243"/>
      <c r="C132" s="244"/>
      <c r="D132" s="364" t="s">
        <v>118</v>
      </c>
      <c r="E132" s="365"/>
      <c r="F132" s="365"/>
      <c r="G132" s="365"/>
      <c r="H132" s="366"/>
    </row>
    <row r="133" spans="1:8" ht="13" x14ac:dyDescent="0.3">
      <c r="A133" s="273" t="s">
        <v>226</v>
      </c>
      <c r="B133" s="273"/>
      <c r="C133" s="273"/>
      <c r="D133" s="273"/>
      <c r="E133" s="273"/>
      <c r="F133" s="273"/>
      <c r="G133" s="273"/>
      <c r="H133" s="273"/>
    </row>
    <row r="134" spans="1:8" ht="25.5" customHeight="1" x14ac:dyDescent="0.35">
      <c r="A134" s="242" t="s">
        <v>440</v>
      </c>
      <c r="B134" s="243"/>
      <c r="C134" s="244"/>
      <c r="D134" s="211"/>
      <c r="E134" s="401" t="str">
        <f>IF(D134="YES", "Does not meet feasibility criteria","")</f>
        <v/>
      </c>
      <c r="F134" s="402"/>
      <c r="G134" s="402"/>
      <c r="H134" s="405"/>
    </row>
    <row r="135" spans="1:8" x14ac:dyDescent="0.35">
      <c r="A135" s="242" t="s">
        <v>441</v>
      </c>
      <c r="B135" s="243"/>
      <c r="C135" s="244"/>
      <c r="D135" s="43"/>
      <c r="E135" s="401" t="str">
        <f>IF(D135&gt;15,"Does not meet feasibility criteria","")</f>
        <v/>
      </c>
      <c r="F135" s="402"/>
      <c r="G135" s="402"/>
      <c r="H135" s="405"/>
    </row>
    <row r="136" spans="1:8" x14ac:dyDescent="0.35">
      <c r="A136" s="242" t="s">
        <v>442</v>
      </c>
      <c r="B136" s="243"/>
      <c r="C136" s="244"/>
      <c r="D136" s="43"/>
      <c r="E136" s="401" t="str">
        <f>IF(D136="","If an impermeable liner is provided, enter 0 in/hr",IF(D136&gt;0.014,"Does not meet feasibility criteria, provide an impermeable liner",""))</f>
        <v>If an impermeable liner is provided, enter 0 in/hr</v>
      </c>
      <c r="F136" s="402"/>
      <c r="G136" s="402"/>
      <c r="H136" s="405"/>
    </row>
    <row r="137" spans="1:8" x14ac:dyDescent="0.35">
      <c r="A137" s="242" t="s">
        <v>443</v>
      </c>
      <c r="B137" s="243"/>
      <c r="C137" s="244"/>
      <c r="D137" s="211"/>
      <c r="E137" s="401" t="str">
        <f>IF(AND(D136&gt;0.014,D137="No"),"Does not meet feasibility criteria","")</f>
        <v/>
      </c>
      <c r="F137" s="402"/>
      <c r="G137" s="402"/>
      <c r="H137" s="405"/>
    </row>
    <row r="138" spans="1:8" x14ac:dyDescent="0.35">
      <c r="A138" s="242" t="s">
        <v>444</v>
      </c>
      <c r="B138" s="243"/>
      <c r="C138" s="244"/>
      <c r="D138" s="211"/>
      <c r="E138" s="401"/>
      <c r="F138" s="402"/>
      <c r="G138" s="402"/>
      <c r="H138" s="405"/>
    </row>
    <row r="139" spans="1:8" x14ac:dyDescent="0.35">
      <c r="A139" s="242" t="s">
        <v>445</v>
      </c>
      <c r="B139" s="243"/>
      <c r="C139" s="244"/>
      <c r="D139" s="211"/>
      <c r="E139" s="401" t="str">
        <f>IF(AND(D138="Yes",D139="Yes"),"Provide 100% pretreatment","")</f>
        <v/>
      </c>
      <c r="F139" s="402"/>
      <c r="G139" s="402"/>
      <c r="H139" s="405"/>
    </row>
    <row r="140" spans="1:8" ht="25.5" customHeight="1" x14ac:dyDescent="0.35">
      <c r="A140" s="242" t="s">
        <v>296</v>
      </c>
      <c r="B140" s="243"/>
      <c r="C140" s="244"/>
      <c r="D140" s="43"/>
      <c r="E140" s="401" t="str">
        <f>IF(D140="","",IF(AND(D138="Yes",D140&lt;2),"Does not meet feasibility criteria",IF(AND(D139="Yes",D140&lt;2),"Does not meet feasibility criteria","")))</f>
        <v/>
      </c>
      <c r="F140" s="402"/>
      <c r="G140" s="402"/>
      <c r="H140" s="405"/>
    </row>
    <row r="141" spans="1:8" x14ac:dyDescent="0.35">
      <c r="A141" s="242" t="s">
        <v>446</v>
      </c>
      <c r="B141" s="243"/>
      <c r="C141" s="244"/>
      <c r="D141" s="43"/>
      <c r="E141" s="401"/>
      <c r="F141" s="402"/>
      <c r="G141" s="402"/>
      <c r="H141" s="405"/>
    </row>
    <row r="142" spans="1:8" ht="26.25" customHeight="1" x14ac:dyDescent="0.35">
      <c r="A142" s="242" t="s">
        <v>711</v>
      </c>
      <c r="B142" s="406"/>
      <c r="C142" s="407"/>
      <c r="D142" s="218"/>
      <c r="E142" s="218"/>
      <c r="F142" s="218"/>
      <c r="G142" s="198" t="s">
        <v>712</v>
      </c>
      <c r="H142" s="198">
        <f>IF($D142="",0,(LOOKUP($D142,'STEP 2-WQv Calculation'!$A$8:$A$37,'STEP 2-WQv Calculation'!$B$8:$B$37)))+IF($E142="",0,(LOOKUP($E142,'STEP 2-WQv Calculation'!$A$8:$A$37,'STEP 2-WQv Calculation'!$B$8:$B$37)))+IF($F142="",0,(LOOKUP($F142,'STEP 2-WQv Calculation'!$A$8:$A$37,'STEP 2-WQv Calculation'!$B$8:$B$37)))</f>
        <v>0</v>
      </c>
    </row>
    <row r="143" spans="1:8" ht="12.75" customHeight="1" x14ac:dyDescent="0.35">
      <c r="A143" s="242" t="s">
        <v>448</v>
      </c>
      <c r="B143" s="243"/>
      <c r="C143" s="244"/>
      <c r="D143" s="227" t="str">
        <f>IF(B131="","",IF(AND(D132="Micropool Extended Detention",(B131+H142)&lt;10),"Yes",IF(AND(D132="Wet Pond",(B131+H142)&lt;25),"Yes",IF(AND(D132="Wet Extended Detention",(B131+H142)&lt;25),"Yes",IF(AND(D132="Multiple Pond System",(B131+H142)&lt;25),"Yes","No")))))</f>
        <v/>
      </c>
      <c r="E143" s="401" t="str">
        <f>IF(D143="","",IF(AND(D132="Micropool Extended Detention",D143="Yes",B131&gt;=5),"Water Balance Calculation required",IF(AND(D132="Wet Pond",D143="Yes",B131&gt;=10),"Water Balance Calculation required",IF(AND(D132="Wet Extended Detention",D143="Yes",B131&gt;=10),"Water Balance Calculation required",IF(AND(D132="Multiple Pond System",D143="Yes",B131&gt;=10),"Water Balance Calculation required",IF(AND(D132="Micropool Extended Detention",D143="Yes",B131&lt;5),"Does not meet feasibility criteria",IF(AND(D132="Wet Pond",D143="Yes",B131&lt;10),"Does not meet feasibility criteria",IF(AND(D132="Wet Extended Detention",D143="Yes",B131&lt;10),"Does not meet feasibility criteria",IF(AND(D132="Multiple Pond System",D143="Yes",B131&lt;10),"Does not meet feasibility criteria","")))))))))</f>
        <v/>
      </c>
      <c r="F143" s="402"/>
      <c r="G143" s="402"/>
      <c r="H143" s="405"/>
    </row>
    <row r="144" spans="1:8" ht="26.25" customHeight="1" x14ac:dyDescent="0.35">
      <c r="A144" s="242" t="s">
        <v>449</v>
      </c>
      <c r="B144" s="243"/>
      <c r="C144" s="244"/>
      <c r="D144" s="211"/>
      <c r="E144" s="401" t="str">
        <f>IF(AND(D132="Micropool Extended Detention",D144="Yes"),"Size outlet structure to detain WQv for 12 hrs",IF(AND(D132="Wet Pond",D144="Yes"),"This practice is strongly discouraged in trout streams. Size outlet structure to detain WQv for 12 hrs",IF(AND(D132="Wet Extended Detention",D144="Yes"),"This practice is strongly discouraged in trout streams. Size outlet structure to detain WQv for 12 hrs",IF(AND(D132="Multiple Pond System",D144="Yes"),"This practice is strongly discouraged in trout streams. Size outlet structure to detain WQv for 12 hrs",""))))</f>
        <v/>
      </c>
      <c r="F144" s="402"/>
      <c r="G144" s="402"/>
      <c r="H144" s="405"/>
    </row>
    <row r="145" spans="1:8" x14ac:dyDescent="0.35">
      <c r="A145" s="242" t="s">
        <v>450</v>
      </c>
      <c r="B145" s="243"/>
      <c r="C145" s="244"/>
      <c r="D145" s="211"/>
      <c r="E145" s="401" t="str">
        <f>IF(D145="No","Does not meet conveyance criteria","")</f>
        <v/>
      </c>
      <c r="F145" s="402"/>
      <c r="G145" s="402"/>
      <c r="H145" s="405"/>
    </row>
    <row r="146" spans="1:8" x14ac:dyDescent="0.35">
      <c r="A146" s="242" t="s">
        <v>451</v>
      </c>
      <c r="B146" s="243"/>
      <c r="C146" s="244"/>
      <c r="D146" s="211"/>
      <c r="E146" s="401" t="str">
        <f>IF(D146="No","Does not meet conveyance criteria","")</f>
        <v/>
      </c>
      <c r="F146" s="402"/>
      <c r="G146" s="402"/>
      <c r="H146" s="405"/>
    </row>
    <row r="147" spans="1:8" x14ac:dyDescent="0.35">
      <c r="A147" s="242" t="s">
        <v>452</v>
      </c>
      <c r="B147" s="243"/>
      <c r="C147" s="244"/>
      <c r="D147" s="211"/>
      <c r="E147" s="401" t="str">
        <f>IF(D147="No","Does not meet pretreatment criteria","")</f>
        <v/>
      </c>
      <c r="F147" s="402"/>
      <c r="G147" s="402"/>
      <c r="H147" s="405"/>
    </row>
    <row r="148" spans="1:8" x14ac:dyDescent="0.35">
      <c r="A148" s="242" t="s">
        <v>453</v>
      </c>
      <c r="B148" s="243"/>
      <c r="C148" s="244"/>
      <c r="D148" s="43"/>
      <c r="E148" s="401" t="str">
        <f>IF(D148="","",IF(D148&lt;1,"Does not meet design criteria",""))</f>
        <v/>
      </c>
      <c r="F148" s="402"/>
      <c r="G148" s="402"/>
      <c r="H148" s="405"/>
    </row>
    <row r="149" spans="1:8" x14ac:dyDescent="0.35">
      <c r="A149" s="242" t="s">
        <v>454</v>
      </c>
      <c r="B149" s="243"/>
      <c r="C149" s="244"/>
      <c r="D149" s="43"/>
      <c r="E149" s="401" t="str">
        <f>IF(D149="","",IF(D149&lt;=3,"Safety bench or fence required",""))</f>
        <v/>
      </c>
      <c r="F149" s="402"/>
      <c r="G149" s="402"/>
      <c r="H149" s="405"/>
    </row>
    <row r="150" spans="1:8" x14ac:dyDescent="0.35">
      <c r="A150" s="242" t="s">
        <v>455</v>
      </c>
      <c r="B150" s="243"/>
      <c r="C150" s="244"/>
      <c r="D150" s="43"/>
      <c r="E150" s="401" t="str">
        <f>IF(D150&gt;15,"Does not meet design criteria","")</f>
        <v/>
      </c>
      <c r="F150" s="402"/>
      <c r="G150" s="402"/>
      <c r="H150" s="405"/>
    </row>
    <row r="151" spans="1:8" x14ac:dyDescent="0.35">
      <c r="A151" s="242" t="s">
        <v>456</v>
      </c>
      <c r="B151" s="243"/>
      <c r="C151" s="244"/>
      <c r="D151" s="43"/>
      <c r="E151" s="401" t="str">
        <f>IF(D151="","",IF(D151&lt;3,"Does not meet design criteria",""))</f>
        <v/>
      </c>
      <c r="F151" s="402"/>
      <c r="G151" s="402"/>
      <c r="H151" s="405"/>
    </row>
    <row r="152" spans="1:8" x14ac:dyDescent="0.35">
      <c r="A152" s="242" t="s">
        <v>457</v>
      </c>
      <c r="B152" s="243"/>
      <c r="C152" s="244"/>
      <c r="D152" s="43"/>
      <c r="E152" s="401" t="str">
        <f>IF(D152="","",IF(D152&lt;10,"Does not meet design criteria",""))</f>
        <v/>
      </c>
      <c r="F152" s="402"/>
      <c r="G152" s="402"/>
      <c r="H152" s="405"/>
    </row>
    <row r="153" spans="1:8" x14ac:dyDescent="0.35">
      <c r="A153" s="242" t="s">
        <v>458</v>
      </c>
      <c r="B153" s="243"/>
      <c r="C153" s="244"/>
      <c r="D153" s="43"/>
      <c r="E153" s="401" t="str">
        <f>IF(D153="","",IF(D153&lt;15,"Does not meet design criteria",""))</f>
        <v/>
      </c>
      <c r="F153" s="402"/>
      <c r="G153" s="402"/>
      <c r="H153" s="405"/>
    </row>
    <row r="154" spans="1:8" x14ac:dyDescent="0.35">
      <c r="A154" s="242" t="s">
        <v>459</v>
      </c>
      <c r="B154" s="243"/>
      <c r="C154" s="244"/>
      <c r="D154" s="43"/>
      <c r="E154" s="401" t="str">
        <f>IF(D154&gt;18,"Does not meet design criteria","")</f>
        <v/>
      </c>
      <c r="F154" s="402"/>
      <c r="G154" s="402"/>
      <c r="H154" s="405"/>
    </row>
    <row r="155" spans="1:8" ht="25.5" customHeight="1" x14ac:dyDescent="0.35">
      <c r="A155" s="242" t="s">
        <v>460</v>
      </c>
      <c r="B155" s="243"/>
      <c r="C155" s="244"/>
      <c r="D155" s="43"/>
      <c r="E155" s="401" t="str">
        <f>IF(D155&gt;15,"Does not meet design criteria","")</f>
        <v/>
      </c>
      <c r="F155" s="402"/>
      <c r="G155" s="402"/>
      <c r="H155" s="405"/>
    </row>
    <row r="156" spans="1:8" x14ac:dyDescent="0.35">
      <c r="A156" s="242" t="s">
        <v>461</v>
      </c>
      <c r="B156" s="243"/>
      <c r="C156" s="244"/>
      <c r="D156" s="43"/>
      <c r="E156" s="401" t="str">
        <f>IF(D156="","",IF(D156&lt;12,"Does not meet design criteria",""))</f>
        <v/>
      </c>
      <c r="F156" s="402"/>
      <c r="G156" s="402"/>
      <c r="H156" s="405"/>
    </row>
    <row r="157" spans="1:8" x14ac:dyDescent="0.35">
      <c r="A157" s="242" t="s">
        <v>462</v>
      </c>
      <c r="B157" s="243"/>
      <c r="C157" s="244"/>
      <c r="D157" s="43"/>
      <c r="E157" s="401" t="str">
        <f>IF(D157="","",IF(AND(D132="Micropool Extended Detention",D157&lt;4),"Does not meet sizing criteria",IF(AND(D132="Micropool Extended Detention",D157&gt;6),"Does not meet sizing criteria",IF(AND(D132="Wet Pond",D157&lt;3),"Does not meet sizing criteria",IF(AND(D132="Wet Pond",D157&gt;8),"Does not meet sizing criteria",IF(AND(D132="Wet Extended Detention",D157&lt;3),"Does not meet sizing criteria",IF(AND(D132="Wet Extended Detention",D157&gt;8),"Does not meet sizing criteria",IF(AND(D132="Multiple Pond System",D157&lt;3),"Does not meet sizing criteria",IF(AND(D132="Multiple Pond System",D157&gt;8),"Does not meet sizing criteria","")))))))))</f>
        <v/>
      </c>
      <c r="F157" s="402"/>
      <c r="G157" s="402"/>
      <c r="H157" s="405"/>
    </row>
    <row r="158" spans="1:8" x14ac:dyDescent="0.35">
      <c r="A158" s="242" t="s">
        <v>463</v>
      </c>
      <c r="B158" s="243"/>
      <c r="C158" s="244"/>
      <c r="D158" s="135" t="str">
        <f>IF(D143="No",D157,IF(AND(D132="Micropool Extended Detention",D143="Yes"),(48+5+10.1)/12,IF(AND(D132="Wet Pond",D143="Yes"),(36+5+10.1)/12,IF(AND(D132="Wet Extended Detention",D143="Yes"),(36+5+10.1)/12,IF(AND(D132="Multiple Pond System",D143="Yes"),(36+5+10.1)/12,"")))))</f>
        <v/>
      </c>
      <c r="E158" s="401" t="str">
        <f>IF(D157="","",IF(D158&gt;D157,"Does not meet sizing criteria",""))</f>
        <v/>
      </c>
      <c r="F158" s="402"/>
      <c r="G158" s="402"/>
      <c r="H158" s="405"/>
    </row>
    <row r="159" spans="1:8" ht="13" x14ac:dyDescent="0.35">
      <c r="A159" s="241" t="s">
        <v>232</v>
      </c>
      <c r="B159" s="241"/>
      <c r="C159" s="241"/>
      <c r="D159" s="241"/>
      <c r="E159" s="241"/>
      <c r="F159" s="241"/>
      <c r="G159" s="241"/>
      <c r="H159" s="236"/>
    </row>
    <row r="160" spans="1:8" ht="25.5" customHeight="1" x14ac:dyDescent="0.35">
      <c r="A160" s="378"/>
      <c r="B160" s="379"/>
      <c r="C160" s="380"/>
      <c r="D160" s="222" t="s">
        <v>256</v>
      </c>
      <c r="E160" s="208" t="s">
        <v>257</v>
      </c>
      <c r="F160" s="375" t="s">
        <v>258</v>
      </c>
      <c r="G160" s="376"/>
      <c r="H160" s="376"/>
    </row>
    <row r="161" spans="1:15" x14ac:dyDescent="0.35">
      <c r="A161" s="266" t="s">
        <v>464</v>
      </c>
      <c r="B161" s="267"/>
      <c r="C161" s="268"/>
      <c r="D161" s="212" t="str">
        <f>F131</f>
        <v/>
      </c>
      <c r="E161" s="193" t="s">
        <v>2</v>
      </c>
      <c r="F161" s="403"/>
      <c r="G161" s="403"/>
      <c r="H161" s="401"/>
    </row>
    <row r="162" spans="1:15" ht="16.899999999999999" customHeight="1" x14ac:dyDescent="0.35">
      <c r="A162" s="266" t="s">
        <v>465</v>
      </c>
      <c r="B162" s="267"/>
      <c r="C162" s="268"/>
      <c r="D162" s="210"/>
      <c r="E162" s="193" t="s">
        <v>2</v>
      </c>
      <c r="F162" s="401" t="str">
        <f>IF(D161="","",IF(D147="No","Does not meet pretreatment criteria",IF(D162&lt;0.1*D161,"Does not meet pretreatment criteria",IF(AND(D138="Yes",D162&lt;D161),"Does not meet pretreatment criteria",IF(AND(D137="Yes",D138="Yes",D162&lt;D161),"Does not meet pretreatment criteria","")))))</f>
        <v/>
      </c>
      <c r="G162" s="402"/>
      <c r="H162" s="405"/>
    </row>
    <row r="163" spans="1:15" ht="20.65" customHeight="1" x14ac:dyDescent="0.35">
      <c r="A163" s="266" t="s">
        <v>466</v>
      </c>
      <c r="B163" s="267"/>
      <c r="C163" s="268"/>
      <c r="D163" s="210"/>
      <c r="E163" s="193" t="s">
        <v>2</v>
      </c>
      <c r="F163" s="401" t="str">
        <f>IF(D163="","If forebay is used for pretreatment, include pretreatment volume",IF(AND(D132="Micropool Extended Detention",D163&lt;0.2*D161),"Does not meet sizing criteria",IF(AND(D132="Wet Pond",D163&lt;D161),"Does not meet sizing criteria",IF(AND(D132="Wet Extended Detention",D163&lt;0.5*D161),"Does not meet sizing criteria",IF(AND(D132="Multiple Pond System",D163&lt;0.5*D161),"Does not meet sizing criteria","")))))</f>
        <v>If forebay is used for pretreatment, include pretreatment volume</v>
      </c>
      <c r="G163" s="402"/>
      <c r="H163" s="402"/>
      <c r="I163" s="256"/>
      <c r="J163" s="256"/>
      <c r="N163" s="256"/>
      <c r="O163" s="256"/>
    </row>
    <row r="164" spans="1:15" x14ac:dyDescent="0.35">
      <c r="A164" s="266" t="s">
        <v>467</v>
      </c>
      <c r="B164" s="267"/>
      <c r="C164" s="268"/>
      <c r="D164" s="210"/>
      <c r="E164" s="193" t="s">
        <v>2</v>
      </c>
      <c r="F164" s="403" t="str">
        <f>IF(D161="","",IF(AND(D132="Micropool Extended Detention",D164&gt;0.8*D161),"Does not meet sizing criteria",IF(AND(D132="Wet Pond",D164&gt;0),"Does not meet sizing criteria",IF(AND(D132="Wet Extended Detention",D164&gt;0.5*D161),"Does not meet sizing criteria",IF(AND(D132="Multiple Pond System",D164&gt;0.5*D161),"Does not meet sizing criteria","")))))</f>
        <v/>
      </c>
      <c r="G164" s="403"/>
      <c r="H164" s="401"/>
    </row>
    <row r="165" spans="1:15" ht="13" x14ac:dyDescent="0.35">
      <c r="A165" s="390" t="s">
        <v>468</v>
      </c>
      <c r="B165" s="390"/>
      <c r="C165" s="390"/>
      <c r="D165" s="390"/>
      <c r="E165" s="390"/>
      <c r="F165" s="390"/>
      <c r="G165" s="390"/>
      <c r="H165" s="404"/>
    </row>
    <row r="166" spans="1:15" ht="13" x14ac:dyDescent="0.35">
      <c r="A166" s="398" t="s">
        <v>469</v>
      </c>
      <c r="B166" s="399"/>
      <c r="C166" s="400"/>
      <c r="D166" s="150" t="str">
        <f>IF(B131="","",IF(D134="Yes",0,IF(D135&gt;15,0,IF(AND(D136&gt;0.014,D137="No"),0,IF(AND(D138="Yes",D140&lt;2),0,IF(AND(D139="Yes",D140&lt;2),0,IF(AND(D132="Micropool Extended Detention",B131&lt;5),0,IF(AND(D132="Wet Pond",B131&lt;10),0,IF(AND(D132="Wet Extended Detention",B131&lt;10),0,IF(AND(D132="Multiple Pond System",B131&lt;10),0,IF(D145="No",0,IF(D146="No",0,IF(D147="No",0,IF(D148&lt;1,0,IF(D149&lt;3,0,IF(D150&gt;15,0,IF(D151&lt;3,0,IF(D152&lt;10,0,IF(D153&lt;15,0,IF(D154&gt;18,0,IF(D155&gt;15,0,IF(D156&lt;12,0,IF(D158&gt;D157,0,IF(AND(D132="Micropool Extended Detention",D157&lt;4),0,IF(AND(D132="Micropool Extended Detention",D157&gt;6),0,IF(AND(D132="Wet Pond",D157&lt;3),0,IF(AND(D132="Wet Pond",D157&gt;8),0,IF(AND(D132="Wet Extended Detention",D157&lt;3),0,IF(AND(D132="Wet Extended Detention",D157&gt;8),0,IF(AND(D132="Multiple Pond System",D157&lt;3),0,IF(AND(D132="Multiple Pond System",D157&gt;8),0,IF(D162&lt;0.1*D161,0,IF(AND(D139="Yes",D162&lt;D161),0,IF(AND(D132="Micropool Extended Detention",D163&lt;0.2*D161),0,IF(AND(D132="Wet Pond",D163&lt;D161),0,IF(AND(D132="Wet Extended Detention",D163&lt;0.5*D161),0,IF(AND(D132="Multiple Pond System",D163&lt;0.5*D161),0,IF(AND(D132="Micropool Extended Detention",D164&gt;0.8*D161),0,IF(AND(D132="Wet Pond",D164&gt;0),0,IF(AND(D132="Wet Extended Detention",D164&gt;0.5*D161),0,IF(AND(D132="Multiple Pond System",D164&gt;0.5*D161),0,IF((D163+D164)&lt;D161,0,F131))))))))))))))))))))))))))))))))))))))))))</f>
        <v/>
      </c>
      <c r="E166" s="398" t="s">
        <v>2</v>
      </c>
      <c r="F166" s="399"/>
      <c r="G166" s="399"/>
      <c r="H166" s="399"/>
    </row>
    <row r="171" spans="1:15" ht="26.25" customHeight="1" x14ac:dyDescent="0.35">
      <c r="A171" s="16" t="s">
        <v>56</v>
      </c>
      <c r="B171" s="225" t="str">
        <f>IF('STEP 2-WQv Calculation'!$B$4="","",'STEP 2-WQv Calculation'!$B$4)</f>
        <v/>
      </c>
      <c r="C171" s="199"/>
      <c r="D171" s="199"/>
      <c r="E171" s="199"/>
      <c r="F171" s="199"/>
      <c r="G171" s="199"/>
      <c r="H171" s="199"/>
    </row>
    <row r="172" spans="1:15" ht="13" x14ac:dyDescent="0.35">
      <c r="A172" s="241" t="s">
        <v>293</v>
      </c>
      <c r="B172" s="241"/>
      <c r="C172" s="241"/>
      <c r="D172" s="241"/>
      <c r="E172" s="241"/>
      <c r="F172" s="241"/>
      <c r="G172" s="241"/>
      <c r="H172" s="241"/>
    </row>
    <row r="173" spans="1:15" ht="38.5" x14ac:dyDescent="0.35">
      <c r="A173" s="204" t="s">
        <v>60</v>
      </c>
      <c r="B173" s="205" t="s">
        <v>61</v>
      </c>
      <c r="C173" s="205" t="s">
        <v>62</v>
      </c>
      <c r="D173" s="205" t="s">
        <v>63</v>
      </c>
      <c r="E173" s="205" t="s">
        <v>64</v>
      </c>
      <c r="F173" s="205" t="s">
        <v>65</v>
      </c>
      <c r="G173" s="205" t="s">
        <v>244</v>
      </c>
      <c r="H173" s="206" t="s">
        <v>13</v>
      </c>
    </row>
    <row r="174" spans="1:15" x14ac:dyDescent="0.35">
      <c r="A174" s="218"/>
      <c r="B174" s="3" t="str">
        <f>IF($A174="","",(LOOKUP($A174,'STEP 2-WQv Calculation'!$A$8:$A$37,'STEP 2-WQv Calculation'!$B$8:$B$37)))</f>
        <v/>
      </c>
      <c r="C174" s="3" t="str">
        <f>IF($A174="","",(LOOKUP($A174,'STEP 2-WQv Calculation'!$A$8:$A$37,'STEP 2-WQv Calculation'!$C$8:$C$37)))</f>
        <v/>
      </c>
      <c r="D174" s="212" t="str">
        <f>IF($A174="","",(LOOKUP($A174,'STEP 2-WQv Calculation'!$A$8:$A$37,'STEP 2-WQv Calculation'!$D$8:$D$37)))</f>
        <v/>
      </c>
      <c r="E174" s="3" t="str">
        <f>IF($A174="","",(LOOKUP($A174,'STEP 2-WQv Calculation'!$A$8:$A$37,'STEP 2-WQv Calculation'!$E$8:$E$37)))</f>
        <v/>
      </c>
      <c r="F174" s="217" t="str">
        <f>IF($A174="","",(LOOKUP($A174,'STEP 2-WQv Calculation'!$A$8:$A$37,'STEP 2-WQv Calculation'!$F$8:$F$37)))</f>
        <v/>
      </c>
      <c r="G174" s="22">
        <f>'STEP 2-WQv Calculation'!B5</f>
        <v>0</v>
      </c>
      <c r="H174" s="198" t="str">
        <f>IF($A174="","",(LOOKUP($A174,'STEP 2-WQv Calculation'!$A$8:$A$37,'STEP 2-WQv Calculation'!$G$8:$G$37)))</f>
        <v/>
      </c>
    </row>
    <row r="175" spans="1:15" x14ac:dyDescent="0.35">
      <c r="A175" s="242" t="s">
        <v>439</v>
      </c>
      <c r="B175" s="243"/>
      <c r="C175" s="244"/>
      <c r="D175" s="364" t="s">
        <v>118</v>
      </c>
      <c r="E175" s="365"/>
      <c r="F175" s="365"/>
      <c r="G175" s="365"/>
      <c r="H175" s="366"/>
    </row>
    <row r="176" spans="1:15" ht="26.25" customHeight="1" x14ac:dyDescent="0.3">
      <c r="A176" s="273" t="s">
        <v>226</v>
      </c>
      <c r="B176" s="273"/>
      <c r="C176" s="273"/>
      <c r="D176" s="273"/>
      <c r="E176" s="273"/>
      <c r="F176" s="273"/>
      <c r="G176" s="273"/>
      <c r="H176" s="273"/>
    </row>
    <row r="177" spans="1:8" x14ac:dyDescent="0.35">
      <c r="A177" s="242" t="s">
        <v>440</v>
      </c>
      <c r="B177" s="243"/>
      <c r="C177" s="244"/>
      <c r="D177" s="211"/>
      <c r="E177" s="401" t="str">
        <f>IF(D177="YES", "Does not meet feasibility criteria","")</f>
        <v/>
      </c>
      <c r="F177" s="402"/>
      <c r="G177" s="402"/>
      <c r="H177" s="405"/>
    </row>
    <row r="178" spans="1:8" x14ac:dyDescent="0.35">
      <c r="A178" s="242" t="s">
        <v>441</v>
      </c>
      <c r="B178" s="243"/>
      <c r="C178" s="244"/>
      <c r="D178" s="43"/>
      <c r="E178" s="401" t="str">
        <f>IF(D178&gt;15,"Does not meet feasibility criteria","")</f>
        <v/>
      </c>
      <c r="F178" s="402"/>
      <c r="G178" s="402"/>
      <c r="H178" s="405"/>
    </row>
    <row r="179" spans="1:8" x14ac:dyDescent="0.35">
      <c r="A179" s="242" t="s">
        <v>442</v>
      </c>
      <c r="B179" s="243"/>
      <c r="C179" s="244"/>
      <c r="D179" s="43"/>
      <c r="E179" s="401" t="str">
        <f>IF(D179="","If an impermeable liner is provided, enter 0 in/hr",IF(D179&gt;0.014,"Does not meet feasibility criteria, provide an impermeable liner",""))</f>
        <v>If an impermeable liner is provided, enter 0 in/hr</v>
      </c>
      <c r="F179" s="402"/>
      <c r="G179" s="402"/>
      <c r="H179" s="405"/>
    </row>
    <row r="180" spans="1:8" x14ac:dyDescent="0.35">
      <c r="A180" s="242" t="s">
        <v>443</v>
      </c>
      <c r="B180" s="243"/>
      <c r="C180" s="244"/>
      <c r="D180" s="211"/>
      <c r="E180" s="401" t="str">
        <f>IF(AND(D179&gt;0.014,D180="No"),"Does not meet feasibility criteria","")</f>
        <v/>
      </c>
      <c r="F180" s="402"/>
      <c r="G180" s="402"/>
      <c r="H180" s="405"/>
    </row>
    <row r="181" spans="1:8" x14ac:dyDescent="0.35">
      <c r="A181" s="242" t="s">
        <v>444</v>
      </c>
      <c r="B181" s="243"/>
      <c r="C181" s="244"/>
      <c r="D181" s="211"/>
      <c r="E181" s="401"/>
      <c r="F181" s="402"/>
      <c r="G181" s="402"/>
      <c r="H181" s="405"/>
    </row>
    <row r="182" spans="1:8" ht="25.5" customHeight="1" x14ac:dyDescent="0.35">
      <c r="A182" s="242" t="s">
        <v>445</v>
      </c>
      <c r="B182" s="243"/>
      <c r="C182" s="244"/>
      <c r="D182" s="211"/>
      <c r="E182" s="401" t="str">
        <f>IF(AND(D181="Yes",D182="Yes"),"Provide 100% pretreatment","")</f>
        <v/>
      </c>
      <c r="F182" s="402"/>
      <c r="G182" s="402"/>
      <c r="H182" s="405"/>
    </row>
    <row r="183" spans="1:8" x14ac:dyDescent="0.35">
      <c r="A183" s="242" t="s">
        <v>296</v>
      </c>
      <c r="B183" s="243"/>
      <c r="C183" s="244"/>
      <c r="D183" s="43"/>
      <c r="E183" s="401" t="str">
        <f>IF(D183="","",IF(AND(D181="Yes",D183&lt;2),"Does not meet feasibility criteria",IF(AND(D182="Yes",D183&lt;2),"Does not meet feasibility criteria","")))</f>
        <v/>
      </c>
      <c r="F183" s="402"/>
      <c r="G183" s="402"/>
      <c r="H183" s="405"/>
    </row>
    <row r="184" spans="1:8" x14ac:dyDescent="0.35">
      <c r="A184" s="242" t="s">
        <v>446</v>
      </c>
      <c r="B184" s="243"/>
      <c r="C184" s="244"/>
      <c r="D184" s="43"/>
      <c r="E184" s="401"/>
      <c r="F184" s="402"/>
      <c r="G184" s="402"/>
      <c r="H184" s="405"/>
    </row>
    <row r="185" spans="1:8" ht="25.5" customHeight="1" x14ac:dyDescent="0.35">
      <c r="A185" s="242" t="s">
        <v>711</v>
      </c>
      <c r="B185" s="406"/>
      <c r="C185" s="407"/>
      <c r="D185" s="218"/>
      <c r="E185" s="218"/>
      <c r="F185" s="218"/>
      <c r="G185" s="198" t="s">
        <v>712</v>
      </c>
      <c r="H185" s="198">
        <f>IF($D185="",0,(LOOKUP($D185,'STEP 2-WQv Calculation'!$A$8:$A$37,'STEP 2-WQv Calculation'!$B$8:$B$37)))+IF($E185="",0,(LOOKUP($E185,'STEP 2-WQv Calculation'!$A$8:$A$37,'STEP 2-WQv Calculation'!$B$8:$B$37)))+IF($F185="",0,(LOOKUP($F185,'STEP 2-WQv Calculation'!$A$8:$A$37,'STEP 2-WQv Calculation'!$B$8:$B$37)))</f>
        <v>0</v>
      </c>
    </row>
    <row r="186" spans="1:8" ht="26.25" customHeight="1" x14ac:dyDescent="0.35">
      <c r="A186" s="242" t="s">
        <v>448</v>
      </c>
      <c r="B186" s="243"/>
      <c r="C186" s="244"/>
      <c r="D186" s="227" t="str">
        <f>IF(B174="","",IF(AND(D175="Micropool Extended Detention",(B174+H185)&lt;10),"Yes",IF(AND(D175="Wet Pond",(B174+H185)&lt;25),"Yes",IF(AND(D175="Wet Extended Detention",(B174+H185)&lt;25),"Yes",IF(AND(D175="Multiple Pond System",(B174+H185)&lt;25),"Yes","No")))))</f>
        <v/>
      </c>
      <c r="E186" s="401" t="str">
        <f>IF(D186="","",IF(AND(D175="Micropool Extended Detention",D186="Yes",B174&gt;=5),"Water Balance Calculation required",IF(AND(D175="Wet Pond",D186="Yes",B174&gt;=10),"Water Balance Calculation required",IF(AND(D175="Wet Extended Detention",D186="Yes",B174&gt;=10),"Water Balance Calculation required",IF(AND(D175="Multiple Pond System",D186="Yes",B174&gt;=10),"Water Balance Calculation required",IF(AND(D175="Micropool Extended Detention",D186="Yes",B174&lt;5),"Does not meet feasibility criteria",IF(AND(D175="Wet Pond",D186="Yes",B174&lt;10),"Does not meet feasibility criteria",IF(AND(D175="Wet Extended Detention",D186="Yes",B174&lt;10),"Does not meet feasibility criteria",IF(AND(D175="Multiple Pond System",D186="Yes",B174&lt;10),"Does not meet feasibility criteria","")))))))))</f>
        <v/>
      </c>
      <c r="F186" s="402"/>
      <c r="G186" s="402"/>
      <c r="H186" s="405"/>
    </row>
    <row r="187" spans="1:8" x14ac:dyDescent="0.35">
      <c r="A187" s="242" t="s">
        <v>449</v>
      </c>
      <c r="B187" s="243"/>
      <c r="C187" s="244"/>
      <c r="D187" s="211"/>
      <c r="E187" s="401" t="str">
        <f>IF(AND(D175="Micropool Extended Detention",D187="Yes"),"Size outlet structure to detain WQv for 12 hrs",IF(AND(D175="Wet Pond",D187="Yes"),"This practice is strongly discouraged in trout streams. Size outlet structure to detain WQv for 12 hrs",IF(AND(D175="Wet Extended Detention",D187="Yes"),"This practice is strongly discouraged in trout streams. Size outlet structure to detain WQv for 12 hrs",IF(AND(D175="Multiple Pond System",D187="Yes"),"This practice is strongly discouraged in trout streams. Size outlet structure to detain WQv for 12 hrs",""))))</f>
        <v/>
      </c>
      <c r="F187" s="402"/>
      <c r="G187" s="402"/>
      <c r="H187" s="405"/>
    </row>
    <row r="188" spans="1:8" x14ac:dyDescent="0.35">
      <c r="A188" s="242" t="s">
        <v>450</v>
      </c>
      <c r="B188" s="243"/>
      <c r="C188" s="244"/>
      <c r="D188" s="211"/>
      <c r="E188" s="401" t="str">
        <f>IF(D188="No","Does not meet conveyance criteria","")</f>
        <v/>
      </c>
      <c r="F188" s="402"/>
      <c r="G188" s="402"/>
      <c r="H188" s="405"/>
    </row>
    <row r="189" spans="1:8" x14ac:dyDescent="0.35">
      <c r="A189" s="242" t="s">
        <v>451</v>
      </c>
      <c r="B189" s="243"/>
      <c r="C189" s="244"/>
      <c r="D189" s="211"/>
      <c r="E189" s="401" t="str">
        <f>IF(D189="No","Does not meet conveyance criteria","")</f>
        <v/>
      </c>
      <c r="F189" s="402"/>
      <c r="G189" s="402"/>
      <c r="H189" s="405"/>
    </row>
    <row r="190" spans="1:8" x14ac:dyDescent="0.35">
      <c r="A190" s="242" t="s">
        <v>452</v>
      </c>
      <c r="B190" s="243"/>
      <c r="C190" s="244"/>
      <c r="D190" s="211"/>
      <c r="E190" s="401" t="str">
        <f>IF(D190="No","Does not meet pretreatment criteria","")</f>
        <v/>
      </c>
      <c r="F190" s="402"/>
      <c r="G190" s="402"/>
      <c r="H190" s="405"/>
    </row>
    <row r="191" spans="1:8" x14ac:dyDescent="0.35">
      <c r="A191" s="242" t="s">
        <v>453</v>
      </c>
      <c r="B191" s="243"/>
      <c r="C191" s="244"/>
      <c r="D191" s="43"/>
      <c r="E191" s="401" t="str">
        <f>IF(D191="","",IF(D191&lt;1,"Does not meet design criteria",""))</f>
        <v/>
      </c>
      <c r="F191" s="402"/>
      <c r="G191" s="402"/>
      <c r="H191" s="405"/>
    </row>
    <row r="192" spans="1:8" x14ac:dyDescent="0.35">
      <c r="A192" s="242" t="s">
        <v>454</v>
      </c>
      <c r="B192" s="243"/>
      <c r="C192" s="244"/>
      <c r="D192" s="43"/>
      <c r="E192" s="401" t="str">
        <f>IF(D192="","",IF(D192&lt;=3,"Safety bench or fence required",""))</f>
        <v/>
      </c>
      <c r="F192" s="402"/>
      <c r="G192" s="402"/>
      <c r="H192" s="405"/>
    </row>
    <row r="193" spans="1:15" x14ac:dyDescent="0.35">
      <c r="A193" s="242" t="s">
        <v>455</v>
      </c>
      <c r="B193" s="243"/>
      <c r="C193" s="244"/>
      <c r="D193" s="43"/>
      <c r="E193" s="401" t="str">
        <f>IF(D193&gt;15,"Does not meet design criteria","")</f>
        <v/>
      </c>
      <c r="F193" s="402"/>
      <c r="G193" s="402"/>
      <c r="H193" s="405"/>
    </row>
    <row r="194" spans="1:15" x14ac:dyDescent="0.35">
      <c r="A194" s="242" t="s">
        <v>456</v>
      </c>
      <c r="B194" s="243"/>
      <c r="C194" s="244"/>
      <c r="D194" s="43"/>
      <c r="E194" s="401" t="str">
        <f>IF(D194="","",IF(D194&lt;3,"Does not meet design criteria",""))</f>
        <v/>
      </c>
      <c r="F194" s="402"/>
      <c r="G194" s="402"/>
      <c r="H194" s="405"/>
    </row>
    <row r="195" spans="1:15" x14ac:dyDescent="0.35">
      <c r="A195" s="242" t="s">
        <v>457</v>
      </c>
      <c r="B195" s="243"/>
      <c r="C195" s="244"/>
      <c r="D195" s="43"/>
      <c r="E195" s="401" t="str">
        <f>IF(D195="","",IF(D195&lt;10,"Does not meet design criteria",""))</f>
        <v/>
      </c>
      <c r="F195" s="402"/>
      <c r="G195" s="402"/>
      <c r="H195" s="402"/>
    </row>
    <row r="196" spans="1:15" x14ac:dyDescent="0.35">
      <c r="A196" s="242" t="s">
        <v>458</v>
      </c>
      <c r="B196" s="243"/>
      <c r="C196" s="244"/>
      <c r="D196" s="43"/>
      <c r="E196" s="401" t="str">
        <f>IF(D196="","",IF(D196&lt;15,"Does not meet design criteria",""))</f>
        <v/>
      </c>
      <c r="F196" s="402"/>
      <c r="G196" s="402"/>
      <c r="H196" s="402"/>
    </row>
    <row r="197" spans="1:15" ht="25.5" customHeight="1" x14ac:dyDescent="0.35">
      <c r="A197" s="242" t="s">
        <v>459</v>
      </c>
      <c r="B197" s="243"/>
      <c r="C197" s="244"/>
      <c r="D197" s="43"/>
      <c r="E197" s="401" t="str">
        <f>IF(D197&gt;18,"Does not meet design criteria","")</f>
        <v/>
      </c>
      <c r="F197" s="402"/>
      <c r="G197" s="402"/>
      <c r="H197" s="402"/>
    </row>
    <row r="198" spans="1:15" x14ac:dyDescent="0.35">
      <c r="A198" s="242" t="s">
        <v>460</v>
      </c>
      <c r="B198" s="243"/>
      <c r="C198" s="244"/>
      <c r="D198" s="43"/>
      <c r="E198" s="401" t="str">
        <f>IF(D198&gt;15,"Does not meet design criteria","")</f>
        <v/>
      </c>
      <c r="F198" s="402"/>
      <c r="G198" s="402"/>
      <c r="H198" s="402"/>
    </row>
    <row r="199" spans="1:15" x14ac:dyDescent="0.35">
      <c r="A199" s="242" t="s">
        <v>461</v>
      </c>
      <c r="B199" s="243"/>
      <c r="C199" s="244"/>
      <c r="D199" s="43"/>
      <c r="E199" s="401" t="str">
        <f>IF(D199="","",IF(D199&lt;12,"Does not meet design criteria",""))</f>
        <v/>
      </c>
      <c r="F199" s="402"/>
      <c r="G199" s="402"/>
      <c r="H199" s="402"/>
    </row>
    <row r="200" spans="1:15" x14ac:dyDescent="0.35">
      <c r="A200" s="242" t="s">
        <v>462</v>
      </c>
      <c r="B200" s="243"/>
      <c r="C200" s="244"/>
      <c r="D200" s="43"/>
      <c r="E200" s="401" t="str">
        <f>IF(D200="","",IF(AND(D175="Micropool Extended Detention",D200&lt;4),"Does not meet sizing criteria",IF(AND(D175="Micropool Extended Detention",D200&gt;6),"Does not meet sizing criteria",IF(AND(D175="Wet Pond",D200&lt;3),"Does not meet sizing criteria",IF(AND(D175="Wet Pond",D200&gt;8),"Does not meet sizing criteria",IF(AND(D175="Wet Extended Detention",D200&lt;3),"Does not meet sizing criteria",IF(AND(D175="Wet Extended Detention",D200&gt;8),"Does not meet sizing criteria",IF(AND(D175="Multiple Pond System",D200&lt;3),"Does not meet sizing criteria",IF(AND(D175="Multiple Pond System",D200&gt;8),"Does not meet sizing criteria","")))))))))</f>
        <v/>
      </c>
      <c r="F200" s="402"/>
      <c r="G200" s="402"/>
      <c r="H200" s="402"/>
    </row>
    <row r="201" spans="1:15" x14ac:dyDescent="0.35">
      <c r="A201" s="242" t="s">
        <v>463</v>
      </c>
      <c r="B201" s="243"/>
      <c r="C201" s="244"/>
      <c r="D201" s="135" t="str">
        <f>IF(D186="No",D200,IF(AND(D175="Micropool Extended Detention",D186="Yes"),(48+5+10.1)/12,IF(AND(D175="Wet Pond",D186="Yes"),(36+5+10.1)/12,IF(AND(D175="Wet Extended Detention",D186="Yes"),(36+5+10.1)/12,IF(AND(D175="Multiple Pond System",D186="Yes"),(36+5+10.1)/12,"")))))</f>
        <v/>
      </c>
      <c r="E201" s="401" t="str">
        <f>IF(D200="","",IF(D201&gt;D200,"Does not meet sizing criteria",""))</f>
        <v/>
      </c>
      <c r="F201" s="402"/>
      <c r="G201" s="402"/>
      <c r="H201" s="402"/>
    </row>
    <row r="202" spans="1:15" ht="25.5" customHeight="1" x14ac:dyDescent="0.35">
      <c r="A202" s="241" t="s">
        <v>232</v>
      </c>
      <c r="B202" s="241"/>
      <c r="C202" s="241"/>
      <c r="D202" s="241"/>
      <c r="E202" s="241"/>
      <c r="F202" s="241"/>
      <c r="G202" s="241"/>
      <c r="H202" s="236"/>
    </row>
    <row r="203" spans="1:15" x14ac:dyDescent="0.35">
      <c r="A203" s="378"/>
      <c r="B203" s="379"/>
      <c r="C203" s="380"/>
      <c r="D203" s="222" t="s">
        <v>256</v>
      </c>
      <c r="E203" s="208" t="s">
        <v>257</v>
      </c>
      <c r="F203" s="375" t="s">
        <v>258</v>
      </c>
      <c r="G203" s="376"/>
      <c r="H203" s="376"/>
    </row>
    <row r="204" spans="1:15" x14ac:dyDescent="0.35">
      <c r="A204" s="266" t="s">
        <v>464</v>
      </c>
      <c r="B204" s="267"/>
      <c r="C204" s="268"/>
      <c r="D204" s="212" t="str">
        <f>F174</f>
        <v/>
      </c>
      <c r="E204" s="193" t="s">
        <v>2</v>
      </c>
      <c r="F204" s="403"/>
      <c r="G204" s="403"/>
      <c r="H204" s="401"/>
    </row>
    <row r="205" spans="1:15" ht="20.65" customHeight="1" x14ac:dyDescent="0.35">
      <c r="A205" s="266" t="s">
        <v>465</v>
      </c>
      <c r="B205" s="267"/>
      <c r="C205" s="268"/>
      <c r="D205" s="210"/>
      <c r="E205" s="193" t="s">
        <v>2</v>
      </c>
      <c r="F205" s="401" t="str">
        <f>IF(D204="","",IF(D190="No","Does not meet pretreatment criteria",IF(D205&lt;0.1*D204,"Does not meet pretreatment criteria",IF(AND(D181="Yes",D205&lt;D204),"Does not meet pretreatment criteria",IF(AND(D180="Yes",D181="Yes",D205&lt;D204),"Does not meet pretreatment criteria","")))))</f>
        <v/>
      </c>
      <c r="G205" s="402"/>
      <c r="H205" s="405"/>
      <c r="I205" s="256"/>
      <c r="J205" s="256"/>
      <c r="N205" s="256"/>
      <c r="O205" s="256"/>
    </row>
    <row r="206" spans="1:15" x14ac:dyDescent="0.35">
      <c r="A206" s="266" t="s">
        <v>466</v>
      </c>
      <c r="B206" s="267"/>
      <c r="C206" s="268"/>
      <c r="D206" s="210"/>
      <c r="E206" s="193" t="s">
        <v>2</v>
      </c>
      <c r="F206" s="401" t="str">
        <f>IF(D206="","If forebay is used for pretreatment, include pretreatment volume",IF(AND(D175="Micropool Extended Detention",D206&lt;0.2*D204),"Does not meet sizing criteria",IF(AND(D175="Wet Pond",D206&lt;D204),"Does not meet sizing criteria",IF(AND(D175="Wet Extended Detention",D206&lt;0.5*D204),"Does not meet sizing criteria",IF(AND(D175="Multiple Pond System",D206&lt;0.5*D204),"Does not meet sizing criteria","")))))</f>
        <v>If forebay is used for pretreatment, include pretreatment volume</v>
      </c>
      <c r="G206" s="402"/>
      <c r="H206" s="402"/>
    </row>
    <row r="207" spans="1:15" x14ac:dyDescent="0.35">
      <c r="A207" s="266" t="s">
        <v>467</v>
      </c>
      <c r="B207" s="267"/>
      <c r="C207" s="268"/>
      <c r="D207" s="210"/>
      <c r="E207" s="193" t="s">
        <v>2</v>
      </c>
      <c r="F207" s="403" t="str">
        <f>IF(D204="","",IF(AND(D175="Micropool Extended Detention",D207&gt;0.8*D204),"Does not meet sizing criteria",IF(AND(D175="Wet Pond",D207&gt;0),"Does not meet sizing criteria",IF(AND(D175="Wet Extended Detention",D207&gt;0.5*D204),"Does not meet sizing criteria",IF(AND(D175="Multiple Pond System",D207&gt;0.5*D204),"Does not meet sizing criteria","")))))</f>
        <v/>
      </c>
      <c r="G207" s="403"/>
      <c r="H207" s="401"/>
    </row>
    <row r="208" spans="1:15" ht="13" x14ac:dyDescent="0.35">
      <c r="A208" s="390" t="s">
        <v>468</v>
      </c>
      <c r="B208" s="390"/>
      <c r="C208" s="390"/>
      <c r="D208" s="390"/>
      <c r="E208" s="390"/>
      <c r="F208" s="390"/>
      <c r="G208" s="390"/>
      <c r="H208" s="404"/>
    </row>
    <row r="209" spans="1:8" ht="13" x14ac:dyDescent="0.35">
      <c r="A209" s="398" t="s">
        <v>469</v>
      </c>
      <c r="B209" s="399"/>
      <c r="C209" s="400"/>
      <c r="D209" s="150" t="str">
        <f>IF(B174="","",IF(D177="Yes",0,IF(D178&gt;15,0,IF(AND(D179&gt;0.014,D180="No"),0,IF(AND(D181="Yes",D183&lt;2),0,IF(AND(D182="Yes",D183&lt;2),0,IF(AND(D175="Micropool Extended Detention",B174&lt;5),0,IF(AND(D175="Wet Pond",B174&lt;10),0,IF(AND(D175="Wet Extended Detention",B174&lt;10),0,IF(AND(D175="Multiple Pond System",B174&lt;10),0,IF(D188="No",0,IF(D189="No",0,IF(D190="No",0,IF(D191&lt;1,0,IF(D192&lt;3,0,IF(D193&gt;15,0,IF(D194&lt;3,0,IF(D195&lt;10,0,IF(D196&lt;15,0,IF(D197&gt;18,0,IF(D198&gt;15,0,IF(D199&lt;12,0,IF(D201&gt;D200,0,IF(AND(D175="Micropool Extended Detention",D200&lt;4),0,IF(AND(D175="Micropool Extended Detention",D200&gt;6),0,IF(AND(D175="Wet Pond",D200&lt;3),0,IF(AND(D175="Wet Pond",D200&gt;8),0,IF(AND(D175="Wet Extended Detention",D200&lt;3),0,IF(AND(D175="Wet Extended Detention",D200&gt;8),0,IF(AND(D175="Multiple Pond System",D200&lt;3),0,IF(AND(D175="Multiple Pond System",D200&gt;8),0,IF(D205&lt;0.1*D204,0,IF(AND(D182="Yes",D205&lt;D204),0,IF(AND(D175="Micropool Extended Detention",D206&lt;0.2*D204),0,IF(AND(D175="Wet Pond",D206&lt;D204),0,IF(AND(D175="Wet Extended Detention",D206&lt;0.5*D204),0,IF(AND(D175="Multiple Pond System",D206&lt;0.5*D204),0,IF(AND(D175="Micropool Extended Detention",D207&gt;0.8*D204),0,IF(AND(D175="Wet Pond",D207&gt;0),0,IF(AND(D175="Wet Extended Detention",D207&gt;0.5*D204),0,IF(AND(D175="Multiple Pond System",D207&gt;0.5*D204),0,IF((D206+D207)&lt;D204,0,F174))))))))))))))))))))))))))))))))))))))))))</f>
        <v/>
      </c>
      <c r="E209" s="398" t="s">
        <v>2</v>
      </c>
      <c r="F209" s="399"/>
      <c r="G209" s="399"/>
      <c r="H209" s="399"/>
    </row>
  </sheetData>
  <sheetProtection algorithmName="SHA-512" hashValue="0KNXlPRHt10VBC/fvC3or3Rs8yfxSLnEF3QEmksuuw/gvmmXqaotUCwTwxBgcZYf8YO14ypZJjL+MiCQFZNt5w==" saltValue="nDzjrLRetgxJUDse0baQRQ==" spinCount="100000" sheet="1" formatColumns="0" formatRows="0"/>
  <mergeCells count="411">
    <mergeCell ref="I2:J2"/>
    <mergeCell ref="I8:J8"/>
    <mergeCell ref="I14:J14"/>
    <mergeCell ref="A5:C5"/>
    <mergeCell ref="D5:H5"/>
    <mergeCell ref="I12:J12"/>
    <mergeCell ref="I13:J13"/>
    <mergeCell ref="A6:H6"/>
    <mergeCell ref="A2:H2"/>
    <mergeCell ref="A7:C7"/>
    <mergeCell ref="E7:H7"/>
    <mergeCell ref="A8:C8"/>
    <mergeCell ref="E8:H8"/>
    <mergeCell ref="A9:C9"/>
    <mergeCell ref="E9:H9"/>
    <mergeCell ref="A10:C10"/>
    <mergeCell ref="E10:H10"/>
    <mergeCell ref="A11:C11"/>
    <mergeCell ref="E11:H11"/>
    <mergeCell ref="A12:C12"/>
    <mergeCell ref="E12:H12"/>
    <mergeCell ref="A22:C22"/>
    <mergeCell ref="E22:H22"/>
    <mergeCell ref="E17:H17"/>
    <mergeCell ref="A13:C13"/>
    <mergeCell ref="E13:H13"/>
    <mergeCell ref="A14:C14"/>
    <mergeCell ref="E14:H14"/>
    <mergeCell ref="A16:C16"/>
    <mergeCell ref="E16:H16"/>
    <mergeCell ref="A20:C20"/>
    <mergeCell ref="E20:H20"/>
    <mergeCell ref="A18:C18"/>
    <mergeCell ref="E18:H18"/>
    <mergeCell ref="A19:C19"/>
    <mergeCell ref="E19:H19"/>
    <mergeCell ref="A17:C17"/>
    <mergeCell ref="A15:C15"/>
    <mergeCell ref="I1:L1"/>
    <mergeCell ref="I7:J7"/>
    <mergeCell ref="A38:H38"/>
    <mergeCell ref="A39:C39"/>
    <mergeCell ref="E39:H39"/>
    <mergeCell ref="E24:H24"/>
    <mergeCell ref="A31:C31"/>
    <mergeCell ref="E31:H31"/>
    <mergeCell ref="E27:H27"/>
    <mergeCell ref="A26:C26"/>
    <mergeCell ref="E26:H26"/>
    <mergeCell ref="A29:C29"/>
    <mergeCell ref="E29:H29"/>
    <mergeCell ref="A25:C25"/>
    <mergeCell ref="A36:C36"/>
    <mergeCell ref="A37:C37"/>
    <mergeCell ref="F37:H37"/>
    <mergeCell ref="F34:H34"/>
    <mergeCell ref="A21:C21"/>
    <mergeCell ref="E21:H21"/>
    <mergeCell ref="A32:H32"/>
    <mergeCell ref="A33:C33"/>
    <mergeCell ref="I18:J18"/>
    <mergeCell ref="I19:J19"/>
    <mergeCell ref="A23:C23"/>
    <mergeCell ref="A24:C24"/>
    <mergeCell ref="A27:C27"/>
    <mergeCell ref="E23:H23"/>
    <mergeCell ref="A41:H41"/>
    <mergeCell ref="A44:C44"/>
    <mergeCell ref="D44:H44"/>
    <mergeCell ref="I32:J32"/>
    <mergeCell ref="I33:J33"/>
    <mergeCell ref="I34:J34"/>
    <mergeCell ref="I38:J38"/>
    <mergeCell ref="I39:J39"/>
    <mergeCell ref="I37:J37"/>
    <mergeCell ref="F33:H33"/>
    <mergeCell ref="F35:H35"/>
    <mergeCell ref="F36:H36"/>
    <mergeCell ref="E25:H25"/>
    <mergeCell ref="A34:C34"/>
    <mergeCell ref="A35:C35"/>
    <mergeCell ref="A28:C28"/>
    <mergeCell ref="E28:H28"/>
    <mergeCell ref="A30:C30"/>
    <mergeCell ref="E30:H30"/>
    <mergeCell ref="A48:C48"/>
    <mergeCell ref="E48:H48"/>
    <mergeCell ref="A49:C49"/>
    <mergeCell ref="E49:H49"/>
    <mergeCell ref="A50:C50"/>
    <mergeCell ref="E50:H50"/>
    <mergeCell ref="A45:H45"/>
    <mergeCell ref="A46:C46"/>
    <mergeCell ref="E46:H46"/>
    <mergeCell ref="A47:C47"/>
    <mergeCell ref="E47:H47"/>
    <mergeCell ref="A55:C55"/>
    <mergeCell ref="E55:H55"/>
    <mergeCell ref="A56:C56"/>
    <mergeCell ref="E56:H56"/>
    <mergeCell ref="A57:C57"/>
    <mergeCell ref="E57:H57"/>
    <mergeCell ref="A51:C51"/>
    <mergeCell ref="E51:H51"/>
    <mergeCell ref="A52:C52"/>
    <mergeCell ref="E52:H52"/>
    <mergeCell ref="A53:C53"/>
    <mergeCell ref="E53:H53"/>
    <mergeCell ref="A54:C54"/>
    <mergeCell ref="A61:C61"/>
    <mergeCell ref="E61:H61"/>
    <mergeCell ref="A62:C62"/>
    <mergeCell ref="E62:H62"/>
    <mergeCell ref="A63:C63"/>
    <mergeCell ref="E63:H63"/>
    <mergeCell ref="A58:C58"/>
    <mergeCell ref="E58:H58"/>
    <mergeCell ref="A59:C59"/>
    <mergeCell ref="E59:H59"/>
    <mergeCell ref="A60:C60"/>
    <mergeCell ref="E60:H60"/>
    <mergeCell ref="A67:C67"/>
    <mergeCell ref="E67:H67"/>
    <mergeCell ref="A68:C68"/>
    <mergeCell ref="E68:H68"/>
    <mergeCell ref="A69:C69"/>
    <mergeCell ref="E69:H69"/>
    <mergeCell ref="A64:C64"/>
    <mergeCell ref="E64:H64"/>
    <mergeCell ref="A65:C65"/>
    <mergeCell ref="E65:H65"/>
    <mergeCell ref="A66:C66"/>
    <mergeCell ref="E66:H66"/>
    <mergeCell ref="A73:C73"/>
    <mergeCell ref="F73:H73"/>
    <mergeCell ref="A74:C74"/>
    <mergeCell ref="F74:H74"/>
    <mergeCell ref="A75:C75"/>
    <mergeCell ref="F75:H75"/>
    <mergeCell ref="A70:C70"/>
    <mergeCell ref="E70:H70"/>
    <mergeCell ref="A71:H71"/>
    <mergeCell ref="A72:C72"/>
    <mergeCell ref="F72:H72"/>
    <mergeCell ref="A85:H85"/>
    <mergeCell ref="A88:C88"/>
    <mergeCell ref="D88:H88"/>
    <mergeCell ref="A89:H89"/>
    <mergeCell ref="A90:C90"/>
    <mergeCell ref="E90:H90"/>
    <mergeCell ref="A76:C76"/>
    <mergeCell ref="F76:H76"/>
    <mergeCell ref="A77:H77"/>
    <mergeCell ref="A78:C78"/>
    <mergeCell ref="E78:H78"/>
    <mergeCell ref="A94:C94"/>
    <mergeCell ref="E94:H94"/>
    <mergeCell ref="A95:C95"/>
    <mergeCell ref="E95:H95"/>
    <mergeCell ref="A96:C96"/>
    <mergeCell ref="E96:H96"/>
    <mergeCell ref="A91:C91"/>
    <mergeCell ref="E91:H91"/>
    <mergeCell ref="A92:C92"/>
    <mergeCell ref="E92:H92"/>
    <mergeCell ref="A93:C93"/>
    <mergeCell ref="E93:H93"/>
    <mergeCell ref="A101:C101"/>
    <mergeCell ref="E101:H101"/>
    <mergeCell ref="A102:C102"/>
    <mergeCell ref="E102:H102"/>
    <mergeCell ref="A103:C103"/>
    <mergeCell ref="E103:H103"/>
    <mergeCell ref="A97:C97"/>
    <mergeCell ref="E97:H97"/>
    <mergeCell ref="A99:C99"/>
    <mergeCell ref="E99:H99"/>
    <mergeCell ref="A100:C100"/>
    <mergeCell ref="E100:H100"/>
    <mergeCell ref="A98:C98"/>
    <mergeCell ref="A107:C107"/>
    <mergeCell ref="E107:H107"/>
    <mergeCell ref="A108:C108"/>
    <mergeCell ref="E108:H108"/>
    <mergeCell ref="A109:C109"/>
    <mergeCell ref="E109:H109"/>
    <mergeCell ref="A104:C104"/>
    <mergeCell ref="E104:H104"/>
    <mergeCell ref="A105:C105"/>
    <mergeCell ref="E105:H105"/>
    <mergeCell ref="A106:C106"/>
    <mergeCell ref="E106:H106"/>
    <mergeCell ref="A113:C113"/>
    <mergeCell ref="E113:H113"/>
    <mergeCell ref="A114:C114"/>
    <mergeCell ref="E114:H114"/>
    <mergeCell ref="A115:H115"/>
    <mergeCell ref="A110:C110"/>
    <mergeCell ref="E110:H110"/>
    <mergeCell ref="A111:C111"/>
    <mergeCell ref="E111:H111"/>
    <mergeCell ref="A112:C112"/>
    <mergeCell ref="E112:H112"/>
    <mergeCell ref="A119:C119"/>
    <mergeCell ref="F119:H119"/>
    <mergeCell ref="A120:C120"/>
    <mergeCell ref="F120:H120"/>
    <mergeCell ref="A121:H121"/>
    <mergeCell ref="A116:C116"/>
    <mergeCell ref="F116:H116"/>
    <mergeCell ref="A117:C117"/>
    <mergeCell ref="F117:H117"/>
    <mergeCell ref="A118:C118"/>
    <mergeCell ref="F118:H118"/>
    <mergeCell ref="A135:C135"/>
    <mergeCell ref="E135:H135"/>
    <mergeCell ref="A136:C136"/>
    <mergeCell ref="E136:H136"/>
    <mergeCell ref="A134:C134"/>
    <mergeCell ref="E134:H134"/>
    <mergeCell ref="A122:C122"/>
    <mergeCell ref="E122:H122"/>
    <mergeCell ref="A129:H129"/>
    <mergeCell ref="A132:C132"/>
    <mergeCell ref="D132:H132"/>
    <mergeCell ref="A133:H133"/>
    <mergeCell ref="A140:C140"/>
    <mergeCell ref="E140:H140"/>
    <mergeCell ref="A141:C141"/>
    <mergeCell ref="E141:H141"/>
    <mergeCell ref="A143:C143"/>
    <mergeCell ref="E143:H143"/>
    <mergeCell ref="A137:C137"/>
    <mergeCell ref="E137:H137"/>
    <mergeCell ref="A138:C138"/>
    <mergeCell ref="E138:H138"/>
    <mergeCell ref="A139:C139"/>
    <mergeCell ref="E139:H139"/>
    <mergeCell ref="A142:C142"/>
    <mergeCell ref="A147:C147"/>
    <mergeCell ref="E147:H147"/>
    <mergeCell ref="A148:C148"/>
    <mergeCell ref="E148:H148"/>
    <mergeCell ref="A149:C149"/>
    <mergeCell ref="E149:H149"/>
    <mergeCell ref="A144:C144"/>
    <mergeCell ref="E144:H144"/>
    <mergeCell ref="A145:C145"/>
    <mergeCell ref="E145:H145"/>
    <mergeCell ref="A146:C146"/>
    <mergeCell ref="E146:H146"/>
    <mergeCell ref="A153:C153"/>
    <mergeCell ref="E153:H153"/>
    <mergeCell ref="A154:C154"/>
    <mergeCell ref="E154:H154"/>
    <mergeCell ref="A155:C155"/>
    <mergeCell ref="E155:H155"/>
    <mergeCell ref="A150:C150"/>
    <mergeCell ref="E150:H150"/>
    <mergeCell ref="A151:C151"/>
    <mergeCell ref="E151:H151"/>
    <mergeCell ref="A152:C152"/>
    <mergeCell ref="E152:H152"/>
    <mergeCell ref="A161:C161"/>
    <mergeCell ref="F161:H161"/>
    <mergeCell ref="A159:H159"/>
    <mergeCell ref="A160:C160"/>
    <mergeCell ref="F160:H160"/>
    <mergeCell ref="A156:C156"/>
    <mergeCell ref="E156:H156"/>
    <mergeCell ref="A157:C157"/>
    <mergeCell ref="E157:H157"/>
    <mergeCell ref="A158:C158"/>
    <mergeCell ref="E158:H158"/>
    <mergeCell ref="A165:H165"/>
    <mergeCell ref="A166:C166"/>
    <mergeCell ref="E166:H166"/>
    <mergeCell ref="A162:C162"/>
    <mergeCell ref="F162:H162"/>
    <mergeCell ref="A163:C163"/>
    <mergeCell ref="F163:H163"/>
    <mergeCell ref="A164:C164"/>
    <mergeCell ref="F164:H164"/>
    <mergeCell ref="A178:C178"/>
    <mergeCell ref="E178:H178"/>
    <mergeCell ref="A179:C179"/>
    <mergeCell ref="E179:H179"/>
    <mergeCell ref="A180:C180"/>
    <mergeCell ref="E180:H180"/>
    <mergeCell ref="A172:H172"/>
    <mergeCell ref="A175:C175"/>
    <mergeCell ref="D175:H175"/>
    <mergeCell ref="A176:H176"/>
    <mergeCell ref="A177:C177"/>
    <mergeCell ref="E177:H177"/>
    <mergeCell ref="A184:C184"/>
    <mergeCell ref="E184:H184"/>
    <mergeCell ref="A186:C186"/>
    <mergeCell ref="E186:H186"/>
    <mergeCell ref="A187:C187"/>
    <mergeCell ref="E187:H187"/>
    <mergeCell ref="A181:C181"/>
    <mergeCell ref="E181:H181"/>
    <mergeCell ref="A182:C182"/>
    <mergeCell ref="E182:H182"/>
    <mergeCell ref="A183:C183"/>
    <mergeCell ref="E183:H183"/>
    <mergeCell ref="A185:C185"/>
    <mergeCell ref="A191:C191"/>
    <mergeCell ref="E191:H191"/>
    <mergeCell ref="A192:C192"/>
    <mergeCell ref="E192:H192"/>
    <mergeCell ref="A193:C193"/>
    <mergeCell ref="E193:H193"/>
    <mergeCell ref="A188:C188"/>
    <mergeCell ref="E188:H188"/>
    <mergeCell ref="A189:C189"/>
    <mergeCell ref="E189:H189"/>
    <mergeCell ref="A190:C190"/>
    <mergeCell ref="E190:H190"/>
    <mergeCell ref="A197:C197"/>
    <mergeCell ref="E197:H197"/>
    <mergeCell ref="A198:C198"/>
    <mergeCell ref="E198:H198"/>
    <mergeCell ref="A199:C199"/>
    <mergeCell ref="E199:H199"/>
    <mergeCell ref="A194:C194"/>
    <mergeCell ref="E194:H194"/>
    <mergeCell ref="A195:C195"/>
    <mergeCell ref="E195:H195"/>
    <mergeCell ref="A196:C196"/>
    <mergeCell ref="E196:H196"/>
    <mergeCell ref="F207:H207"/>
    <mergeCell ref="A208:H208"/>
    <mergeCell ref="A203:C203"/>
    <mergeCell ref="F203:H203"/>
    <mergeCell ref="A204:C204"/>
    <mergeCell ref="F204:H204"/>
    <mergeCell ref="A205:C205"/>
    <mergeCell ref="F205:H205"/>
    <mergeCell ref="A200:C200"/>
    <mergeCell ref="E200:H200"/>
    <mergeCell ref="A201:C201"/>
    <mergeCell ref="E201:H201"/>
    <mergeCell ref="A202:H202"/>
    <mergeCell ref="N1:Q1"/>
    <mergeCell ref="N2:O2"/>
    <mergeCell ref="N3:O3"/>
    <mergeCell ref="N4:O4"/>
    <mergeCell ref="N5:O5"/>
    <mergeCell ref="A209:C209"/>
    <mergeCell ref="E209:H209"/>
    <mergeCell ref="I3:J3"/>
    <mergeCell ref="I4:J4"/>
    <mergeCell ref="I5:J5"/>
    <mergeCell ref="I6:J6"/>
    <mergeCell ref="I9:J9"/>
    <mergeCell ref="I10:J10"/>
    <mergeCell ref="I11:J11"/>
    <mergeCell ref="I25:J25"/>
    <mergeCell ref="I26:J26"/>
    <mergeCell ref="I27:J27"/>
    <mergeCell ref="I28:J28"/>
    <mergeCell ref="I29:J29"/>
    <mergeCell ref="I30:J30"/>
    <mergeCell ref="I31:J31"/>
    <mergeCell ref="A206:C206"/>
    <mergeCell ref="F206:H206"/>
    <mergeCell ref="A207:C207"/>
    <mergeCell ref="N11:O11"/>
    <mergeCell ref="N12:O12"/>
    <mergeCell ref="N13:O13"/>
    <mergeCell ref="N14:O14"/>
    <mergeCell ref="N18:O18"/>
    <mergeCell ref="N6:O6"/>
    <mergeCell ref="N7:O7"/>
    <mergeCell ref="N8:O8"/>
    <mergeCell ref="N9:O9"/>
    <mergeCell ref="N10:O10"/>
    <mergeCell ref="N19:O19"/>
    <mergeCell ref="N20:O20"/>
    <mergeCell ref="I23:J23"/>
    <mergeCell ref="I24:J24"/>
    <mergeCell ref="I21:L21"/>
    <mergeCell ref="I22:J22"/>
    <mergeCell ref="N21:Q21"/>
    <mergeCell ref="N22:O22"/>
    <mergeCell ref="N23:O23"/>
    <mergeCell ref="N24:O24"/>
    <mergeCell ref="I20:J20"/>
    <mergeCell ref="N30:O30"/>
    <mergeCell ref="N31:O31"/>
    <mergeCell ref="N32:O32"/>
    <mergeCell ref="N33:O33"/>
    <mergeCell ref="N34:O34"/>
    <mergeCell ref="N25:O25"/>
    <mergeCell ref="N26:O26"/>
    <mergeCell ref="N27:O27"/>
    <mergeCell ref="N28:O28"/>
    <mergeCell ref="N29:O29"/>
    <mergeCell ref="I77:J77"/>
    <mergeCell ref="N77:O77"/>
    <mergeCell ref="I120:J120"/>
    <mergeCell ref="N120:O120"/>
    <mergeCell ref="I163:J163"/>
    <mergeCell ref="N163:O163"/>
    <mergeCell ref="I205:J205"/>
    <mergeCell ref="N205:O205"/>
    <mergeCell ref="N37:O37"/>
    <mergeCell ref="N38:O38"/>
    <mergeCell ref="N39:O39"/>
  </mergeCells>
  <dataValidations count="4">
    <dataValidation type="list" showInputMessage="1" showErrorMessage="1" promptTitle="Yes or No?" sqref="D7 D10:D12 D17:D20 D46 D49:D51 D56:D59 D90 D93:D95 D100:D103 D134 D137:D139 D144:D147 D177 D180:D182 D187:D190" xr:uid="{9364D83A-0BBB-4F74-BC0A-2F50528823DF}">
      <formula1>YesNo</formula1>
    </dataValidation>
    <dataValidation type="list" showInputMessage="1" showErrorMessage="1" promptTitle="Choose Area" sqref="A4 A43 A87 A131 A174 D15:F15 D54:F54 D98:F98 D142:F142 D185:F185" xr:uid="{AACB8D27-17C1-4467-973A-0A246C4CF8D4}">
      <formula1>CatchNo</formula1>
    </dataValidation>
    <dataValidation type="decimal" operator="greaterThan" allowBlank="1" showInputMessage="1" showErrorMessage="1" sqref="D13:D14 D162:D163 D21:D30 D8 D47 D60:D69 D35:D36 D91 D104:D113 D74:D75 D135 D148:D157 D118:D119 D178 D191:D200 D205:D206 D140:D141 D52:D53 D96:D97 D183:D184" xr:uid="{EDC3EF03-5D23-4E6D-A5E2-1005FEF32E29}">
      <formula1>0</formula1>
    </dataValidation>
    <dataValidation type="decimal" operator="greaterThanOrEqual" allowBlank="1" showInputMessage="1" showErrorMessage="1" sqref="D9 D48 D92 D136 D179 D37 D76 D120 D164 D207" xr:uid="{4D832ADD-FD51-4861-9803-5754B556F50A}">
      <formula1>0</formula1>
    </dataValidation>
  </dataValidations>
  <pageMargins left="0.5" right="0.5" top="0.75" bottom="0.5" header="0.3" footer="0.3"/>
  <pageSetup paperSize="278" orientation="portrait" r:id="rId1"/>
  <headerFooter>
    <oddHeader xml:space="preserve">&amp;C&amp;"Arial,Regular"&amp;18Stormwater Ponds&amp;"-,Regular"
</oddHeader>
  </headerFooter>
  <rowBreaks count="4" manualBreakCount="4">
    <brk id="39" max="16383" man="1"/>
    <brk id="82" max="16383" man="1"/>
    <brk id="125" max="16383" man="1"/>
    <brk id="167" max="16383" man="1"/>
  </rowBreaks>
  <extLst>
    <ext xmlns:x14="http://schemas.microsoft.com/office/spreadsheetml/2009/9/main" uri="{CCE6A557-97BC-4b89-ADB6-D9C93CAAB3DF}">
      <x14:dataValidations xmlns:xm="http://schemas.microsoft.com/office/excel/2006/main" count="1">
        <x14:dataValidation type="list" showInputMessage="1" showErrorMessage="1" promptTitle="Yes or No?" xr:uid="{5C6AA5B4-D894-448D-AFF2-737BBA559884}">
          <x14:formula1>
            <xm:f>Reference!$A$58:$A$61</xm:f>
          </x14:formula1>
          <xm:sqref>D5:H5 D44:H44 D88:H88 D132:H132 D175:H175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A65B7-5F7C-4E43-9852-F9C379B64B79}">
  <dimension ref="A1:R232"/>
  <sheetViews>
    <sheetView view="pageLayout" zoomScaleNormal="100" workbookViewId="0">
      <selection activeCell="E16" sqref="E16:H16"/>
    </sheetView>
  </sheetViews>
  <sheetFormatPr defaultColWidth="9.1796875" defaultRowHeight="12.5" x14ac:dyDescent="0.35"/>
  <cols>
    <col min="1" max="1" width="12.7265625" style="12" customWidth="1"/>
    <col min="2" max="2" width="18.54296875" style="12" customWidth="1"/>
    <col min="3" max="3" width="14.1796875" style="12" customWidth="1"/>
    <col min="4" max="4" width="10.7265625" style="12" customWidth="1"/>
    <col min="5" max="6" width="6.7265625" style="12" customWidth="1"/>
    <col min="7" max="7" width="12.453125" style="12" customWidth="1"/>
    <col min="8" max="8" width="12.54296875" style="12" customWidth="1"/>
    <col min="9" max="16384" width="9.1796875" style="12"/>
  </cols>
  <sheetData>
    <row r="1" spans="1:17" ht="18" customHeight="1" x14ac:dyDescent="0.35">
      <c r="A1" s="16" t="s">
        <v>56</v>
      </c>
      <c r="B1" s="225" t="str">
        <f>IF('STEP 2-WQv Calculation'!$B$4="","",'STEP 2-WQv Calculation'!$B$4)</f>
        <v/>
      </c>
      <c r="C1" s="199"/>
      <c r="D1" s="199"/>
      <c r="E1" s="199"/>
      <c r="F1" s="199"/>
      <c r="G1" s="199"/>
      <c r="H1" s="199"/>
      <c r="I1" s="408" t="s">
        <v>126</v>
      </c>
      <c r="J1" s="397"/>
      <c r="K1" s="397"/>
      <c r="L1" s="397"/>
      <c r="N1" s="408" t="s">
        <v>128</v>
      </c>
      <c r="O1" s="397"/>
      <c r="P1" s="397"/>
      <c r="Q1" s="397"/>
    </row>
    <row r="2" spans="1:17" ht="13" x14ac:dyDescent="0.35">
      <c r="A2" s="241" t="s">
        <v>293</v>
      </c>
      <c r="B2" s="241"/>
      <c r="C2" s="241"/>
      <c r="D2" s="241"/>
      <c r="E2" s="241"/>
      <c r="F2" s="241"/>
      <c r="G2" s="241"/>
      <c r="H2" s="236"/>
      <c r="I2" s="255" t="s">
        <v>219</v>
      </c>
      <c r="J2" s="256"/>
      <c r="K2" s="49">
        <f>SUM(K3:K6)</f>
        <v>0</v>
      </c>
      <c r="L2" s="12" t="s">
        <v>223</v>
      </c>
      <c r="N2" s="255" t="s">
        <v>219</v>
      </c>
      <c r="O2" s="256"/>
      <c r="P2" s="49">
        <f>SUM(P3:P6)</f>
        <v>0</v>
      </c>
      <c r="Q2" s="12" t="s">
        <v>223</v>
      </c>
    </row>
    <row r="3" spans="1:17" ht="46.75" customHeight="1" x14ac:dyDescent="0.35">
      <c r="A3" s="204" t="s">
        <v>60</v>
      </c>
      <c r="B3" s="205" t="s">
        <v>61</v>
      </c>
      <c r="C3" s="205" t="s">
        <v>62</v>
      </c>
      <c r="D3" s="205" t="s">
        <v>63</v>
      </c>
      <c r="E3" s="205" t="s">
        <v>64</v>
      </c>
      <c r="F3" s="205" t="s">
        <v>65</v>
      </c>
      <c r="G3" s="205" t="s">
        <v>244</v>
      </c>
      <c r="H3" s="205" t="s">
        <v>13</v>
      </c>
      <c r="I3" s="149"/>
      <c r="K3" s="151">
        <f>IF(D5="Shallow Wetland",B4,0)</f>
        <v>0</v>
      </c>
      <c r="L3" s="12" t="s">
        <v>223</v>
      </c>
      <c r="N3" s="149"/>
      <c r="P3" s="151">
        <f>IF(D5="Extended Detention Shallow Wetland",B4,0)</f>
        <v>0</v>
      </c>
      <c r="Q3" s="12" t="s">
        <v>223</v>
      </c>
    </row>
    <row r="4" spans="1:17"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5" t="str">
        <f>IF($A4="","",(LOOKUP($A4,'STEP 2-WQv Calculation'!$A$8:$A$37,'STEP 2-WQv Calculation'!$G$8:$G$37)))</f>
        <v/>
      </c>
      <c r="I4" s="149"/>
      <c r="K4" s="151">
        <f>IF(D48="Shallow Wetland",B47,0)</f>
        <v>0</v>
      </c>
      <c r="L4" s="12" t="s">
        <v>223</v>
      </c>
      <c r="N4" s="149"/>
      <c r="P4" s="151">
        <f>IF(D48="Extended Detention Shallow Wetland",B47,0)</f>
        <v>0</v>
      </c>
      <c r="Q4" s="12" t="s">
        <v>223</v>
      </c>
    </row>
    <row r="5" spans="1:17" s="1" customFormat="1" ht="15" customHeight="1" x14ac:dyDescent="0.35">
      <c r="A5" s="322" t="s">
        <v>470</v>
      </c>
      <c r="B5" s="323"/>
      <c r="C5" s="324"/>
      <c r="D5" s="364"/>
      <c r="E5" s="365"/>
      <c r="F5" s="365"/>
      <c r="G5" s="365"/>
      <c r="H5" s="365"/>
      <c r="I5" s="148"/>
      <c r="J5" s="4"/>
      <c r="K5" s="151">
        <f>IF(D96="Shallow Wetland",B95,0)</f>
        <v>0</v>
      </c>
      <c r="L5" s="12" t="s">
        <v>223</v>
      </c>
      <c r="M5" s="4"/>
      <c r="N5" s="148"/>
      <c r="O5" s="4"/>
      <c r="P5" s="151">
        <f>IF(D96="Extended Detention Shallow Wetland",B95,0)</f>
        <v>0</v>
      </c>
      <c r="Q5" s="12" t="s">
        <v>223</v>
      </c>
    </row>
    <row r="6" spans="1:17" s="1" customFormat="1" ht="15" customHeight="1" x14ac:dyDescent="0.35">
      <c r="A6" s="273" t="s">
        <v>226</v>
      </c>
      <c r="B6" s="273"/>
      <c r="C6" s="273"/>
      <c r="D6" s="273"/>
      <c r="E6" s="273"/>
      <c r="F6" s="273"/>
      <c r="G6" s="273"/>
      <c r="H6" s="248"/>
      <c r="I6" s="148"/>
      <c r="J6" s="4"/>
      <c r="K6" s="151">
        <f>IF(D145="Shallow Wetland",B144,0)</f>
        <v>0</v>
      </c>
      <c r="L6" s="12" t="s">
        <v>223</v>
      </c>
      <c r="M6" s="4"/>
      <c r="N6" s="148"/>
      <c r="O6" s="4"/>
      <c r="P6" s="151">
        <f>IF(D145="Extended Detention Shallow Wetland",B144,0)</f>
        <v>0</v>
      </c>
      <c r="Q6" s="12" t="s">
        <v>223</v>
      </c>
    </row>
    <row r="7" spans="1:17" s="1" customFormat="1" ht="15" customHeight="1" x14ac:dyDescent="0.35">
      <c r="A7" s="242" t="s">
        <v>471</v>
      </c>
      <c r="B7" s="243"/>
      <c r="C7" s="244"/>
      <c r="D7" s="211"/>
      <c r="E7" s="401" t="str">
        <f>IF(D7="YES", "A permit is required","")</f>
        <v/>
      </c>
      <c r="F7" s="402"/>
      <c r="G7" s="402"/>
      <c r="H7" s="402"/>
      <c r="I7" s="148"/>
      <c r="J7" s="4"/>
      <c r="K7" s="151">
        <f>IF(D194="Shallow Wetland",B193,0)</f>
        <v>0</v>
      </c>
      <c r="L7" s="12" t="s">
        <v>223</v>
      </c>
      <c r="M7" s="4"/>
      <c r="N7" s="148"/>
      <c r="O7" s="4"/>
      <c r="P7" s="151">
        <f>IF(D194="Extended Detention Shallow Wetland",B193,0)</f>
        <v>0</v>
      </c>
      <c r="Q7" s="12" t="s">
        <v>223</v>
      </c>
    </row>
    <row r="8" spans="1:17" s="1" customFormat="1" ht="14.5" x14ac:dyDescent="0.35">
      <c r="A8" s="242" t="s">
        <v>472</v>
      </c>
      <c r="B8" s="243"/>
      <c r="C8" s="244"/>
      <c r="D8" s="43"/>
      <c r="E8" s="401" t="str">
        <f>IF(D8&gt;15,"Does not meet feasibility criteria","")</f>
        <v/>
      </c>
      <c r="F8" s="402"/>
      <c r="G8" s="402"/>
      <c r="H8" s="402"/>
      <c r="I8" s="255" t="s">
        <v>245</v>
      </c>
      <c r="J8" s="256"/>
      <c r="K8" s="21">
        <f>SUM(K9:K12)</f>
        <v>0</v>
      </c>
      <c r="L8" s="12" t="s">
        <v>223</v>
      </c>
      <c r="M8" s="4"/>
      <c r="N8" s="255" t="s">
        <v>245</v>
      </c>
      <c r="O8" s="256"/>
      <c r="P8" s="21">
        <f>SUM(P9:P12)</f>
        <v>0</v>
      </c>
      <c r="Q8" s="12" t="s">
        <v>223</v>
      </c>
    </row>
    <row r="9" spans="1:17" s="1" customFormat="1" ht="26.25" customHeight="1" x14ac:dyDescent="0.35">
      <c r="A9" s="242" t="s">
        <v>442</v>
      </c>
      <c r="B9" s="243"/>
      <c r="C9" s="244"/>
      <c r="D9" s="43"/>
      <c r="E9" s="401" t="str">
        <f>IF(D9="","If an impermeable liner is provided, enter 0 in/hr",IF(D9&gt;0.014,"Does not meet feasibility criteria, provide an impermeable liner",""))</f>
        <v>If an impermeable liner is provided, enter 0 in/hr</v>
      </c>
      <c r="F9" s="402"/>
      <c r="G9" s="402"/>
      <c r="H9" s="402"/>
      <c r="I9" s="148"/>
      <c r="J9" s="4"/>
      <c r="K9" s="152">
        <f>IF(D5="Shallow Wetland",C4,0)</f>
        <v>0</v>
      </c>
      <c r="L9" s="12" t="s">
        <v>223</v>
      </c>
      <c r="M9" s="4"/>
      <c r="N9" s="148"/>
      <c r="O9" s="4"/>
      <c r="P9" s="152">
        <f>IF(D5="Extended Detention Shallow Wetland",C4,0)</f>
        <v>0</v>
      </c>
      <c r="Q9" s="12" t="s">
        <v>223</v>
      </c>
    </row>
    <row r="10" spans="1:17" s="1" customFormat="1" ht="13.9" customHeight="1" x14ac:dyDescent="0.35">
      <c r="A10" s="242" t="s">
        <v>443</v>
      </c>
      <c r="B10" s="243"/>
      <c r="C10" s="244"/>
      <c r="D10" s="211"/>
      <c r="E10" s="401" t="str">
        <f>IF(AND(D9&gt;0.014,D10="No"),"Does not meet feasibility criteria","")</f>
        <v/>
      </c>
      <c r="F10" s="402"/>
      <c r="G10" s="402"/>
      <c r="H10" s="402"/>
      <c r="I10" s="148"/>
      <c r="J10" s="4"/>
      <c r="K10" s="152">
        <f>IF(D48="Shallow Wetland",C47,0)</f>
        <v>0</v>
      </c>
      <c r="L10" s="12" t="s">
        <v>223</v>
      </c>
      <c r="M10" s="4"/>
      <c r="N10" s="148"/>
      <c r="O10" s="4"/>
      <c r="P10" s="152">
        <f>IF(D48="Extended Detention Shallow Wetland",C47,0)</f>
        <v>0</v>
      </c>
      <c r="Q10" s="12" t="s">
        <v>223</v>
      </c>
    </row>
    <row r="11" spans="1:17" s="1" customFormat="1" ht="13.9" customHeight="1" x14ac:dyDescent="0.35">
      <c r="A11" s="242" t="s">
        <v>473</v>
      </c>
      <c r="B11" s="243"/>
      <c r="C11" s="244"/>
      <c r="D11" s="211"/>
      <c r="E11" s="401" t="str">
        <f>IF(D11="","",IF(AND(D5="Pocket Wetland",D11="Yes"),"Does not meet feasibility criteria",""))</f>
        <v/>
      </c>
      <c r="F11" s="402"/>
      <c r="G11" s="402"/>
      <c r="H11" s="402"/>
      <c r="I11" s="148"/>
      <c r="J11" s="4"/>
      <c r="K11" s="152">
        <f>IF(D96="Shallow Wetland",C95,0)</f>
        <v>0</v>
      </c>
      <c r="L11" s="12" t="s">
        <v>223</v>
      </c>
      <c r="M11" s="4"/>
      <c r="N11" s="148"/>
      <c r="O11" s="4"/>
      <c r="P11" s="152">
        <f>IF(D96="Extended Detention Shallow Wetland",C95,0)</f>
        <v>0</v>
      </c>
      <c r="Q11" s="12" t="s">
        <v>223</v>
      </c>
    </row>
    <row r="12" spans="1:17" s="1" customFormat="1" ht="13.9" customHeight="1" x14ac:dyDescent="0.35">
      <c r="A12" s="242" t="s">
        <v>474</v>
      </c>
      <c r="B12" s="243"/>
      <c r="C12" s="244"/>
      <c r="D12" s="211"/>
      <c r="E12" s="401" t="str">
        <f>IF(D12="","",IF(AND(D5="Shallow Wetland",D12="Yes"),"Provide 100% pretreatment",IF(AND(D5="Extended Detention Shallow Wetland",D12="Yes"),"Provide 100% pretreatment",IF(AND(D5="Pond/Wetland System",D12="Yes"),"Provide 100% pretreatment",IF(AND(D5="Pocket Wetland",D12="Yes"),"Does not meet feasibility criteria","")))))</f>
        <v/>
      </c>
      <c r="F12" s="402"/>
      <c r="G12" s="402"/>
      <c r="H12" s="402"/>
      <c r="I12" s="148"/>
      <c r="J12" s="4"/>
      <c r="K12" s="152">
        <f>IF(D145="Shallow Wetland",C144,0)</f>
        <v>0</v>
      </c>
      <c r="L12" s="12" t="s">
        <v>223</v>
      </c>
      <c r="M12" s="4"/>
      <c r="N12" s="148"/>
      <c r="O12" s="4"/>
      <c r="P12" s="152">
        <f>IF(D145="Extended Detention Shallow Wetland",C144,0)</f>
        <v>0</v>
      </c>
      <c r="Q12" s="12" t="s">
        <v>223</v>
      </c>
    </row>
    <row r="13" spans="1:17" s="1" customFormat="1" ht="14.5" x14ac:dyDescent="0.35">
      <c r="A13" s="242" t="s">
        <v>296</v>
      </c>
      <c r="B13" s="243"/>
      <c r="C13" s="244"/>
      <c r="D13" s="43"/>
      <c r="E13" s="401" t="str">
        <f>IF(D13="","",IF(AND(D11="Yes",D13&lt;2),"Does not meet feasibility criteria",IF(AND(D12="Yes",D13&lt;2),"Does not meet feasibility criteria","")))</f>
        <v/>
      </c>
      <c r="F13" s="402"/>
      <c r="G13" s="402"/>
      <c r="H13" s="402"/>
      <c r="I13" s="148"/>
      <c r="J13" s="4"/>
      <c r="K13" s="152">
        <f>IF(D194="Shallow Wetland",C193,0)</f>
        <v>0</v>
      </c>
      <c r="L13" s="12" t="s">
        <v>223</v>
      </c>
      <c r="M13" s="4"/>
      <c r="N13" s="148"/>
      <c r="O13" s="4"/>
      <c r="P13" s="152">
        <f>IF(D194="Extended Detention Shallow Wetland",C193,0)</f>
        <v>0</v>
      </c>
      <c r="Q13" s="12" t="s">
        <v>223</v>
      </c>
    </row>
    <row r="14" spans="1:17" s="1" customFormat="1" ht="25.5" customHeight="1" x14ac:dyDescent="0.35">
      <c r="A14" s="242" t="s">
        <v>711</v>
      </c>
      <c r="B14" s="406"/>
      <c r="C14" s="407"/>
      <c r="D14" s="218"/>
      <c r="E14" s="218"/>
      <c r="F14" s="218"/>
      <c r="G14" s="198" t="s">
        <v>716</v>
      </c>
      <c r="H14" s="195">
        <f>IF($D14="",0,(LOOKUP($D14,'STEP 2-WQv Calculation'!$A$8:$A$37,'STEP 2-WQv Calculation'!$B$8:$B$37)))+IF($E14="",0,(LOOKUP($E14,'STEP 2-WQv Calculation'!$A$8:$A$37,'STEP 2-WQv Calculation'!$B$8:$B$37)))+IF($F14="",0,(LOOKUP($F14,'STEP 2-WQv Calculation'!$A$8:$A$37,'STEP 2-WQv Calculation'!$B$8:$B$37)))</f>
        <v>0</v>
      </c>
      <c r="I14" s="256" t="s">
        <v>447</v>
      </c>
      <c r="J14" s="256"/>
      <c r="K14" s="28">
        <f>SUM(K15:K18)</f>
        <v>0</v>
      </c>
      <c r="L14" s="12" t="s">
        <v>2</v>
      </c>
      <c r="M14" s="4"/>
      <c r="N14" s="255" t="s">
        <v>447</v>
      </c>
      <c r="O14" s="256"/>
      <c r="P14" s="28">
        <f>SUM(P15:P18)</f>
        <v>0</v>
      </c>
      <c r="Q14" s="12" t="s">
        <v>2</v>
      </c>
    </row>
    <row r="15" spans="1:17" s="1" customFormat="1" ht="15" customHeight="1" x14ac:dyDescent="0.35">
      <c r="A15" s="242" t="s">
        <v>475</v>
      </c>
      <c r="B15" s="243"/>
      <c r="C15" s="244"/>
      <c r="D15" s="227" t="str">
        <f>IF(B4="","",IF(AND(D5="Shallow Wetland",(B4+H14)&lt;25),"Yes",IF(AND(D5="Extended Detention Shallow Wetland",(B4+H14)&lt;25),"Yes",IF(AND(D5="Pond/Wetland System",(B4+H14)&lt;25),"Yes",IF(AND(D5="Pocket Wetland",(B4+H14)&lt;5),"Yes","No")))))</f>
        <v/>
      </c>
      <c r="E15" s="401" t="str">
        <f>IF(D15="Yes","Does not meet feasibility criteria","")</f>
        <v/>
      </c>
      <c r="F15" s="402"/>
      <c r="G15" s="402"/>
      <c r="H15" s="402"/>
      <c r="I15" s="148"/>
      <c r="J15" s="4"/>
      <c r="K15" s="4">
        <f>IF(D5="Shallow Wetland",D43,0)</f>
        <v>0</v>
      </c>
      <c r="L15" s="12" t="s">
        <v>2</v>
      </c>
      <c r="M15" s="4"/>
      <c r="N15" s="148"/>
      <c r="O15" s="4"/>
      <c r="P15" s="4">
        <f>IF(D5="Extended Detention Shallow Wetland",D43,0)</f>
        <v>0</v>
      </c>
      <c r="Q15" s="12" t="s">
        <v>2</v>
      </c>
    </row>
    <row r="16" spans="1:17" s="1" customFormat="1" ht="14.5" x14ac:dyDescent="0.35">
      <c r="A16" s="242" t="s">
        <v>715</v>
      </c>
      <c r="B16" s="243"/>
      <c r="C16" s="244"/>
      <c r="D16" s="211"/>
      <c r="E16" s="401" t="str">
        <f>IF(D16="Yes","Does not meet feasibility criteria","")</f>
        <v/>
      </c>
      <c r="F16" s="402"/>
      <c r="G16" s="402"/>
      <c r="H16" s="402"/>
      <c r="I16" s="148"/>
      <c r="J16" s="4"/>
      <c r="K16" s="4">
        <f>IF(D48="Shallow Wetland",D86,0)</f>
        <v>0</v>
      </c>
      <c r="L16" s="12" t="s">
        <v>2</v>
      </c>
      <c r="M16" s="4"/>
      <c r="N16" s="148"/>
      <c r="O16" s="4"/>
      <c r="P16" s="4">
        <f>IF(D48="Extended Detention Shallow Wetland",D86,0)</f>
        <v>0</v>
      </c>
      <c r="Q16" s="12" t="s">
        <v>2</v>
      </c>
    </row>
    <row r="17" spans="1:18" s="1" customFormat="1" ht="15.65" customHeight="1" x14ac:dyDescent="0.35">
      <c r="A17" s="242" t="s">
        <v>450</v>
      </c>
      <c r="B17" s="243"/>
      <c r="C17" s="244"/>
      <c r="D17" s="211"/>
      <c r="E17" s="401" t="str">
        <f>IF(D17="No","Does not meet conveyance criteria","")</f>
        <v/>
      </c>
      <c r="F17" s="402"/>
      <c r="G17" s="402"/>
      <c r="H17" s="402"/>
      <c r="I17" s="148"/>
      <c r="J17" s="4"/>
      <c r="K17" s="4">
        <f>IF(D96="Shallow Wetland",D134,0)</f>
        <v>0</v>
      </c>
      <c r="L17" s="12" t="s">
        <v>2</v>
      </c>
      <c r="M17" s="4"/>
      <c r="N17" s="148"/>
      <c r="O17" s="4"/>
      <c r="P17" s="4">
        <f>IF(D96="Extended Detention Shallow Wetland",D134,0)</f>
        <v>0</v>
      </c>
      <c r="Q17" s="12" t="s">
        <v>2</v>
      </c>
    </row>
    <row r="18" spans="1:18" s="1" customFormat="1" ht="15.65" customHeight="1" x14ac:dyDescent="0.35">
      <c r="A18" s="242" t="s">
        <v>451</v>
      </c>
      <c r="B18" s="243"/>
      <c r="C18" s="244"/>
      <c r="D18" s="211"/>
      <c r="E18" s="401" t="str">
        <f>IF(D18="No","Does not meet conveyance criteria","")</f>
        <v/>
      </c>
      <c r="F18" s="402"/>
      <c r="G18" s="402"/>
      <c r="H18" s="402"/>
      <c r="I18" s="148"/>
      <c r="J18" s="4"/>
      <c r="K18" s="4">
        <f>IF(D145="Shallow Wetland",D183,0)</f>
        <v>0</v>
      </c>
      <c r="L18" s="12" t="s">
        <v>2</v>
      </c>
      <c r="M18" s="4"/>
      <c r="N18" s="148"/>
      <c r="O18" s="4"/>
      <c r="P18" s="4">
        <f>IF(D145="Extended Detention Shallow Wetland",D183,0)</f>
        <v>0</v>
      </c>
      <c r="Q18" s="12" t="s">
        <v>2</v>
      </c>
    </row>
    <row r="19" spans="1:18" s="1" customFormat="1" ht="15.65" customHeight="1" x14ac:dyDescent="0.35">
      <c r="A19" s="242" t="s">
        <v>476</v>
      </c>
      <c r="B19" s="243"/>
      <c r="C19" s="244"/>
      <c r="D19" s="211"/>
      <c r="E19" s="401" t="str">
        <f>IF(D19="No","Does not meet pretreatment criteria","")</f>
        <v/>
      </c>
      <c r="F19" s="402"/>
      <c r="G19" s="402"/>
      <c r="H19" s="402"/>
      <c r="I19" s="148"/>
      <c r="J19" s="4"/>
      <c r="K19" s="4">
        <f>IF(D194="Shallow Wetland",D232,0)</f>
        <v>0</v>
      </c>
      <c r="L19" s="12" t="s">
        <v>2</v>
      </c>
      <c r="M19" s="4"/>
      <c r="N19" s="148"/>
      <c r="O19" s="4"/>
      <c r="P19" s="4">
        <f>IF(D194="Extended Detention Shallow Wetland",D232,0)</f>
        <v>0</v>
      </c>
      <c r="Q19" s="12" t="s">
        <v>2</v>
      </c>
    </row>
    <row r="20" spans="1:18" s="1" customFormat="1" ht="15.65" customHeight="1" x14ac:dyDescent="0.35">
      <c r="A20" s="242" t="s">
        <v>453</v>
      </c>
      <c r="B20" s="243"/>
      <c r="C20" s="244"/>
      <c r="D20" s="43"/>
      <c r="E20" s="401" t="str">
        <f>IF(D20="","",IF(D20&lt;1,"Does not meet design criteria",""))</f>
        <v/>
      </c>
      <c r="F20" s="402"/>
      <c r="G20" s="402"/>
      <c r="H20" s="402"/>
      <c r="I20" s="408" t="s">
        <v>130</v>
      </c>
      <c r="J20" s="397"/>
      <c r="K20" s="397"/>
      <c r="L20" s="397"/>
      <c r="M20" s="4"/>
      <c r="N20" s="408" t="s">
        <v>132</v>
      </c>
      <c r="O20" s="397"/>
      <c r="P20" s="397"/>
      <c r="Q20" s="397"/>
    </row>
    <row r="21" spans="1:18" s="1" customFormat="1" ht="14.5" x14ac:dyDescent="0.35">
      <c r="A21" s="242" t="s">
        <v>454</v>
      </c>
      <c r="B21" s="243"/>
      <c r="C21" s="244"/>
      <c r="D21" s="43"/>
      <c r="E21" s="401" t="str">
        <f>IF(D21="","",IF(D21&lt;=3,"Safety bench required",""))</f>
        <v/>
      </c>
      <c r="F21" s="402"/>
      <c r="G21" s="402"/>
      <c r="H21" s="402"/>
      <c r="I21" s="255" t="s">
        <v>219</v>
      </c>
      <c r="J21" s="256"/>
      <c r="K21" s="49">
        <f>SUM(K22:K25)</f>
        <v>0</v>
      </c>
      <c r="L21" s="12" t="s">
        <v>223</v>
      </c>
      <c r="M21" s="4"/>
      <c r="N21" s="255" t="s">
        <v>219</v>
      </c>
      <c r="O21" s="256"/>
      <c r="P21" s="49">
        <f>SUM(P22:P25)</f>
        <v>0</v>
      </c>
      <c r="Q21" s="12" t="s">
        <v>223</v>
      </c>
    </row>
    <row r="22" spans="1:18" s="1" customFormat="1" ht="14.5" x14ac:dyDescent="0.35">
      <c r="A22" s="242" t="s">
        <v>460</v>
      </c>
      <c r="B22" s="243"/>
      <c r="C22" s="244"/>
      <c r="D22" s="43"/>
      <c r="E22" s="401" t="str">
        <f>IF(D22&gt;15,"Does not meet design criteria","")</f>
        <v/>
      </c>
      <c r="F22" s="402"/>
      <c r="G22" s="402"/>
      <c r="H22" s="402"/>
      <c r="I22" s="149"/>
      <c r="J22" s="12"/>
      <c r="K22" s="151">
        <f>IF(D5="Pond/Wetland System",B4,0)</f>
        <v>0</v>
      </c>
      <c r="L22" s="12" t="s">
        <v>223</v>
      </c>
      <c r="M22" s="4"/>
      <c r="N22" s="149"/>
      <c r="O22" s="12"/>
      <c r="P22" s="151">
        <f>IF(D5="Pocket Wetland",B4,0)</f>
        <v>0</v>
      </c>
      <c r="Q22" s="12" t="s">
        <v>223</v>
      </c>
    </row>
    <row r="23" spans="1:18" s="1" customFormat="1" ht="14.5" x14ac:dyDescent="0.35">
      <c r="A23" s="242" t="s">
        <v>461</v>
      </c>
      <c r="B23" s="243"/>
      <c r="C23" s="244"/>
      <c r="D23" s="43"/>
      <c r="E23" s="401" t="str">
        <f>IF(D23="","",IF(D23&lt;12,"Does not meet design criteria",""))</f>
        <v/>
      </c>
      <c r="F23" s="402"/>
      <c r="G23" s="402"/>
      <c r="H23" s="402"/>
      <c r="I23" s="149"/>
      <c r="J23" s="12"/>
      <c r="K23" s="151">
        <f>IF(D48="Pond/Wetland System",B47,0)</f>
        <v>0</v>
      </c>
      <c r="L23" s="12" t="s">
        <v>223</v>
      </c>
      <c r="M23" s="12"/>
      <c r="N23" s="149"/>
      <c r="O23" s="12"/>
      <c r="P23" s="151">
        <f>IF(D48="Pocket Wetland",B47,0)</f>
        <v>0</v>
      </c>
      <c r="Q23" s="12" t="s">
        <v>223</v>
      </c>
      <c r="R23" s="12"/>
    </row>
    <row r="24" spans="1:18" ht="15" customHeight="1" x14ac:dyDescent="0.3">
      <c r="A24" s="241" t="s">
        <v>232</v>
      </c>
      <c r="B24" s="241"/>
      <c r="C24" s="241"/>
      <c r="D24" s="241"/>
      <c r="E24" s="241"/>
      <c r="F24" s="241"/>
      <c r="G24" s="241"/>
      <c r="H24" s="236"/>
      <c r="I24" s="148"/>
      <c r="J24" s="4"/>
      <c r="K24" s="151">
        <f>IF(D96="Pond/Wetland System",B95,0)</f>
        <v>0</v>
      </c>
      <c r="L24" s="12" t="s">
        <v>223</v>
      </c>
      <c r="M24" s="4"/>
      <c r="N24" s="148"/>
      <c r="O24" s="4"/>
      <c r="P24" s="151">
        <f>IF(D96="Pocket Wetland",B95,0)</f>
        <v>0</v>
      </c>
      <c r="Q24" s="12" t="s">
        <v>223</v>
      </c>
      <c r="R24" s="34"/>
    </row>
    <row r="25" spans="1:18" s="34" customFormat="1" ht="15" customHeight="1" x14ac:dyDescent="0.35">
      <c r="A25" s="378"/>
      <c r="B25" s="379"/>
      <c r="C25" s="380"/>
      <c r="D25" s="222" t="s">
        <v>256</v>
      </c>
      <c r="E25" s="208" t="s">
        <v>257</v>
      </c>
      <c r="F25" s="375" t="s">
        <v>258</v>
      </c>
      <c r="G25" s="376"/>
      <c r="H25" s="376"/>
      <c r="I25" s="148"/>
      <c r="J25" s="4"/>
      <c r="K25" s="151">
        <f>IF(D145="Pond/Wetland System",B144,0)</f>
        <v>0</v>
      </c>
      <c r="L25" s="12" t="s">
        <v>223</v>
      </c>
      <c r="M25" s="4"/>
      <c r="N25" s="148"/>
      <c r="O25" s="4"/>
      <c r="P25" s="151">
        <f>IF(D145="Pocket Wetland",B144,0)</f>
        <v>0</v>
      </c>
      <c r="Q25" s="12" t="s">
        <v>223</v>
      </c>
      <c r="R25" s="1"/>
    </row>
    <row r="26" spans="1:18" s="1" customFormat="1" ht="14.5" x14ac:dyDescent="0.35">
      <c r="A26" s="266" t="s">
        <v>477</v>
      </c>
      <c r="B26" s="267"/>
      <c r="C26" s="268"/>
      <c r="D26" s="59"/>
      <c r="E26" s="193" t="s">
        <v>2</v>
      </c>
      <c r="F26" s="403" t="str">
        <f>IF(AND(D26="",D5=""),"",IF(AND(D12="Yes",D26&lt;F4),"Does not meet design criteria",IF(AND(D5="Shallow Wetland",D26=""),"Forebay + Micropool ≥ 25% WQv?",IF(AND(D5="Extended Detention Shallow Wetland",D26=""),"Forebay + Micropool ≥ 25% WQv?",IF(AND(D5="Pond/Wetland System",D26=""),"",IF(AND(D5="Pocket Wetland",D26=""),"Forebay + Micropool ≥ 25% WQv?",IF(D26&lt;0.1*F4,"Does not meet sizing criteria",IF(AND(D11="Yes",D12="Yes",D26&lt;F4),"Does not meet sizing criteria",""))))))))</f>
        <v/>
      </c>
      <c r="G26" s="403"/>
      <c r="H26" s="401"/>
      <c r="I26" s="149"/>
      <c r="J26" s="12"/>
      <c r="K26" s="151">
        <f>IF(D194="Pond/Wetland System",B193,0)</f>
        <v>0</v>
      </c>
      <c r="L26" s="12" t="s">
        <v>223</v>
      </c>
      <c r="M26" s="4"/>
      <c r="N26" s="148"/>
      <c r="O26" s="4"/>
      <c r="P26" s="151">
        <f>IF(D194="Pocket Wetland",B193,0)</f>
        <v>0</v>
      </c>
      <c r="Q26" s="12" t="s">
        <v>223</v>
      </c>
    </row>
    <row r="27" spans="1:18" s="1" customFormat="1" ht="15" customHeight="1" x14ac:dyDescent="0.35">
      <c r="A27" s="266" t="s">
        <v>478</v>
      </c>
      <c r="B27" s="267"/>
      <c r="C27" s="268"/>
      <c r="D27" s="59"/>
      <c r="E27" s="193" t="s">
        <v>58</v>
      </c>
      <c r="F27" s="403" t="str">
        <f>IF(D27="","",IF(D27&gt;6,"Does not meet siizng criteria",""))</f>
        <v/>
      </c>
      <c r="G27" s="403"/>
      <c r="H27" s="401"/>
      <c r="I27" s="255" t="s">
        <v>245</v>
      </c>
      <c r="J27" s="256"/>
      <c r="K27" s="21">
        <f>SUM(K28:K31)</f>
        <v>0</v>
      </c>
      <c r="L27" s="12" t="s">
        <v>223</v>
      </c>
      <c r="M27" s="4"/>
      <c r="N27" s="255" t="s">
        <v>245</v>
      </c>
      <c r="O27" s="256"/>
      <c r="P27" s="21">
        <f>SUM(P28:P31)</f>
        <v>0</v>
      </c>
      <c r="Q27" s="12" t="s">
        <v>223</v>
      </c>
    </row>
    <row r="28" spans="1:18" s="1" customFormat="1" ht="15" customHeight="1" x14ac:dyDescent="0.35">
      <c r="A28" s="266" t="s">
        <v>479</v>
      </c>
      <c r="B28" s="267"/>
      <c r="C28" s="268"/>
      <c r="D28" s="59"/>
      <c r="E28" s="193" t="s">
        <v>336</v>
      </c>
      <c r="F28" s="403" t="str">
        <f>IF(D28="","",IF(D28&lt;5,"Does not meet sizing criteria",""))</f>
        <v/>
      </c>
      <c r="G28" s="403"/>
      <c r="H28" s="401"/>
      <c r="I28" s="148"/>
      <c r="J28" s="4"/>
      <c r="K28" s="152">
        <f>IF(D5="Pond/Wetland System",C4,0)</f>
        <v>0</v>
      </c>
      <c r="L28" s="12" t="s">
        <v>223</v>
      </c>
      <c r="M28" s="4"/>
      <c r="N28" s="148"/>
      <c r="O28" s="4"/>
      <c r="P28" s="152">
        <f>IF(D5="Pocket Wetland",C4,0)</f>
        <v>0</v>
      </c>
      <c r="Q28" s="12" t="s">
        <v>223</v>
      </c>
    </row>
    <row r="29" spans="1:18" s="1" customFormat="1" ht="15" customHeight="1" x14ac:dyDescent="0.35">
      <c r="A29" s="266" t="s">
        <v>480</v>
      </c>
      <c r="B29" s="267"/>
      <c r="C29" s="268"/>
      <c r="D29" s="59"/>
      <c r="E29" s="193" t="s">
        <v>481</v>
      </c>
      <c r="F29" s="403" t="str">
        <f>IF(D29="","",IF(D29&lt;35,"Does not meet sizing criteria",""))</f>
        <v/>
      </c>
      <c r="G29" s="403"/>
      <c r="H29" s="401"/>
      <c r="I29" s="148"/>
      <c r="J29" s="4"/>
      <c r="K29" s="152">
        <f>IF(D48="Pond/Wetland System",C47,0)</f>
        <v>0</v>
      </c>
      <c r="L29" s="12" t="s">
        <v>223</v>
      </c>
      <c r="M29" s="4"/>
      <c r="N29" s="148"/>
      <c r="O29" s="4"/>
      <c r="P29" s="152">
        <f>IF(D48="Pocket Wetland",C47,0)</f>
        <v>0</v>
      </c>
      <c r="Q29" s="12" t="s">
        <v>223</v>
      </c>
    </row>
    <row r="30" spans="1:18" s="1" customFormat="1" ht="15" customHeight="1" x14ac:dyDescent="0.35">
      <c r="A30" s="266" t="s">
        <v>482</v>
      </c>
      <c r="B30" s="267"/>
      <c r="C30" s="268"/>
      <c r="D30" s="59"/>
      <c r="E30" s="193" t="s">
        <v>58</v>
      </c>
      <c r="F30" s="403" t="str">
        <f>IF(D30="","",IF(D30&lt;6,"Does not meet sizing criteria",IF(D30&gt;18,"Does not meet sizing criteria","")))</f>
        <v/>
      </c>
      <c r="G30" s="403"/>
      <c r="H30" s="401"/>
      <c r="I30" s="148"/>
      <c r="J30" s="4"/>
      <c r="K30" s="152">
        <f>IF(D96="Pond/Wetland System",C95,0)</f>
        <v>0</v>
      </c>
      <c r="L30" s="12" t="s">
        <v>223</v>
      </c>
      <c r="M30" s="4"/>
      <c r="N30" s="148"/>
      <c r="O30" s="4"/>
      <c r="P30" s="152">
        <f>IF(D96="Pocket Wetland",C95,0)</f>
        <v>0</v>
      </c>
      <c r="Q30" s="12" t="s">
        <v>223</v>
      </c>
    </row>
    <row r="31" spans="1:18" s="1" customFormat="1" ht="15" customHeight="1" x14ac:dyDescent="0.35">
      <c r="A31" s="266" t="s">
        <v>483</v>
      </c>
      <c r="B31" s="267"/>
      <c r="C31" s="268"/>
      <c r="D31" s="59"/>
      <c r="E31" s="193" t="s">
        <v>336</v>
      </c>
      <c r="F31" s="403" t="str">
        <f>IF(D31="","",IF(D31&lt;5,"Does not meet sizing criteria",""))</f>
        <v/>
      </c>
      <c r="G31" s="403"/>
      <c r="H31" s="401"/>
      <c r="I31" s="148"/>
      <c r="J31" s="4"/>
      <c r="K31" s="152">
        <f>IF(D145="Pond/Wetland System",C144,0)</f>
        <v>0</v>
      </c>
      <c r="L31" s="12" t="s">
        <v>223</v>
      </c>
      <c r="M31" s="4"/>
      <c r="N31" s="148"/>
      <c r="O31" s="4"/>
      <c r="P31" s="152">
        <f>IF(D145="Pocket Wetland",C144,0)</f>
        <v>0</v>
      </c>
      <c r="Q31" s="12" t="s">
        <v>223</v>
      </c>
    </row>
    <row r="32" spans="1:18" s="1" customFormat="1" ht="15" customHeight="1" x14ac:dyDescent="0.35">
      <c r="A32" s="266" t="s">
        <v>484</v>
      </c>
      <c r="B32" s="267"/>
      <c r="C32" s="268"/>
      <c r="D32" s="59"/>
      <c r="E32" s="193" t="s">
        <v>481</v>
      </c>
      <c r="F32" s="403" t="str">
        <f>IF(D32="","",IF(D32&lt;30,"Does not meet sizing criteria",""))</f>
        <v/>
      </c>
      <c r="G32" s="403"/>
      <c r="H32" s="401"/>
      <c r="I32" s="148"/>
      <c r="J32" s="4"/>
      <c r="K32" s="152">
        <f>IF(D194="Pond/Wetland System",C193,0)</f>
        <v>0</v>
      </c>
      <c r="L32" s="12" t="s">
        <v>223</v>
      </c>
      <c r="M32" s="4"/>
      <c r="N32" s="148"/>
      <c r="O32" s="4"/>
      <c r="P32" s="152">
        <f>IF(D194="Pocket Wetland",C193,0)</f>
        <v>0</v>
      </c>
      <c r="Q32" s="12" t="s">
        <v>223</v>
      </c>
    </row>
    <row r="33" spans="1:18" s="1" customFormat="1" ht="15" customHeight="1" x14ac:dyDescent="0.35">
      <c r="A33" s="266" t="s">
        <v>485</v>
      </c>
      <c r="B33" s="267"/>
      <c r="C33" s="268"/>
      <c r="D33" s="59"/>
      <c r="E33" s="193" t="s">
        <v>271</v>
      </c>
      <c r="F33" s="403" t="str">
        <f>IF(D33="","",IF(D33&lt;4,"Does not meet sizing criteria",""))</f>
        <v/>
      </c>
      <c r="G33" s="403"/>
      <c r="H33" s="401"/>
      <c r="I33" s="255" t="s">
        <v>447</v>
      </c>
      <c r="J33" s="256"/>
      <c r="K33" s="28">
        <f>SUM(K34:K37)</f>
        <v>0</v>
      </c>
      <c r="L33" s="12" t="s">
        <v>2</v>
      </c>
      <c r="M33" s="4"/>
      <c r="N33" s="255" t="s">
        <v>447</v>
      </c>
      <c r="O33" s="256"/>
      <c r="P33" s="28">
        <f>SUM(P34:P37)</f>
        <v>0</v>
      </c>
      <c r="Q33" s="12" t="s">
        <v>2</v>
      </c>
    </row>
    <row r="34" spans="1:18" s="1" customFormat="1" ht="15" customHeight="1" x14ac:dyDescent="0.35">
      <c r="A34" s="266" t="s">
        <v>486</v>
      </c>
      <c r="B34" s="267"/>
      <c r="C34" s="268"/>
      <c r="D34" s="59"/>
      <c r="E34" s="193" t="s">
        <v>336</v>
      </c>
      <c r="F34" s="403" t="str">
        <f>IF(D34="","",IF(D34&lt;3,"Does not meet sizing criteria",""))</f>
        <v/>
      </c>
      <c r="G34" s="403"/>
      <c r="H34" s="401"/>
      <c r="I34" s="148"/>
      <c r="J34" s="4"/>
      <c r="K34" s="4">
        <f>IF(D5="Pond/Wetland System",D43,0)</f>
        <v>0</v>
      </c>
      <c r="L34" s="12" t="s">
        <v>2</v>
      </c>
      <c r="M34" s="4"/>
      <c r="N34" s="148"/>
      <c r="O34" s="4"/>
      <c r="P34" s="4">
        <f>IF(D5="Pocket Wetland",D43,0)</f>
        <v>0</v>
      </c>
      <c r="Q34" s="12" t="s">
        <v>2</v>
      </c>
    </row>
    <row r="35" spans="1:18" s="1" customFormat="1" ht="14.5" x14ac:dyDescent="0.35">
      <c r="A35" s="266" t="s">
        <v>487</v>
      </c>
      <c r="B35" s="267"/>
      <c r="C35" s="268"/>
      <c r="D35" s="59"/>
      <c r="E35" s="193" t="s">
        <v>2</v>
      </c>
      <c r="F35" s="403" t="str">
        <f>IF(AND(D35="",D5=""),"",IF(AND(D5="Shallow Wetland",D35=""),"Forebay + Micropool ≥ 25% WQv?",IF(AND(D5="Extended Detention Shallow Wetland",D35=""),"Forebay + Micropool ≥ 25% WQv?",IF(AND(D5="Pond/Wetland System",D35=""),"",IF(AND(D5="Pocket Wetland",D35=""),"Forebay + Micropool ≥ 25% WQv?",IF(AND(D5="Shallow Wetland",(D26+D35)&lt;0.25*F4),"Does not meet sizing criteria",IF(AND(D5="Extended Detention Shallow Wetland",(D26+D35)&lt;0.25*F4),"Does not meet sizing criteria",IF((D35&lt;0.1*F4),"Does not meet sizing criteria",IF(AND(D5="Pocket Wetland",(D26+D35)&lt;0.25*F4),"Does not meet sizing criteria","")))))))))</f>
        <v/>
      </c>
      <c r="G35" s="403"/>
      <c r="H35" s="401"/>
      <c r="I35" s="148"/>
      <c r="J35" s="4"/>
      <c r="K35" s="4">
        <f>IF(D48="Pond/Wetland System",D86,0)</f>
        <v>0</v>
      </c>
      <c r="L35" s="12" t="s">
        <v>2</v>
      </c>
      <c r="M35" s="4"/>
      <c r="N35" s="148"/>
      <c r="O35" s="4"/>
      <c r="P35" s="4">
        <f>IF(D48="Pocket Wetland",D86,0)</f>
        <v>0</v>
      </c>
      <c r="Q35" s="12" t="s">
        <v>2</v>
      </c>
    </row>
    <row r="36" spans="1:18" s="1" customFormat="1" ht="15" customHeight="1" x14ac:dyDescent="0.35">
      <c r="A36" s="266" t="s">
        <v>488</v>
      </c>
      <c r="B36" s="267"/>
      <c r="C36" s="268"/>
      <c r="D36" s="59"/>
      <c r="E36" s="193" t="s">
        <v>271</v>
      </c>
      <c r="F36" s="403" t="str">
        <f>IF(AND(D5="Shallow Wetland",D36=""),"Not applicable",IF(AND(D5="Extended Detention Shallow Wetland",D36=""),"Not applicable",IF(AND(D5="Pond/Wetland System",D36=""),"",IF(AND(D5="Pocket Wetland",D36=""),"Not applicable",IF(AND(D5="Pond/Wetland System",D36&lt;4),"Does not meet sizing criteria","")))))</f>
        <v/>
      </c>
      <c r="G36" s="403"/>
      <c r="H36" s="401"/>
      <c r="I36" s="148"/>
      <c r="J36" s="4"/>
      <c r="K36" s="4">
        <f>IF(D96="Pond/Wetland System",D134,0)</f>
        <v>0</v>
      </c>
      <c r="L36" s="12" t="s">
        <v>2</v>
      </c>
      <c r="M36" s="4"/>
      <c r="N36" s="148"/>
      <c r="O36" s="4"/>
      <c r="P36" s="4">
        <f>IF(D96="Pocket Wetland",D134,0)</f>
        <v>0</v>
      </c>
      <c r="Q36" s="12" t="s">
        <v>2</v>
      </c>
    </row>
    <row r="37" spans="1:18" s="1" customFormat="1" ht="15" customHeight="1" x14ac:dyDescent="0.35">
      <c r="A37" s="266" t="s">
        <v>489</v>
      </c>
      <c r="B37" s="267"/>
      <c r="C37" s="268"/>
      <c r="D37" s="59"/>
      <c r="E37" s="193" t="s">
        <v>336</v>
      </c>
      <c r="F37" s="403" t="str">
        <f>IF(AND(D5="Shallow Wetland",D37=""),"Not applicable",IF(AND(D5="Extended Detention Shallow Wetland",D37=""),"Not applicable",IF(AND(D5="Pond/Wetland System",D37=""),"",IF(AND(D5="Pocket Wetland",D37=""),"Not applicable",IF(AND(D5="Pond/Wetland System",D37&lt;3),"Does not meet sizing criteria","")))))</f>
        <v/>
      </c>
      <c r="G37" s="403"/>
      <c r="H37" s="401"/>
      <c r="I37" s="148"/>
      <c r="J37" s="4"/>
      <c r="K37" s="4">
        <f>IF(D145="Pond/Wetland System",D183,0)</f>
        <v>0</v>
      </c>
      <c r="L37" s="12" t="s">
        <v>2</v>
      </c>
      <c r="M37" s="4"/>
      <c r="N37" s="148"/>
      <c r="O37" s="4"/>
      <c r="P37" s="4">
        <f>IF(D145="Pocket Wetland",D183,0)</f>
        <v>0</v>
      </c>
      <c r="Q37" s="12" t="s">
        <v>2</v>
      </c>
    </row>
    <row r="38" spans="1:18" s="1" customFormat="1" ht="15" customHeight="1" x14ac:dyDescent="0.35">
      <c r="A38" s="266" t="s">
        <v>490</v>
      </c>
      <c r="B38" s="267"/>
      <c r="C38" s="268"/>
      <c r="D38" s="59"/>
      <c r="E38" s="193" t="s">
        <v>2</v>
      </c>
      <c r="F38" s="403" t="str">
        <f>IF(AND(D38="",D5=""),"",IF(AND(D5="Shallow Wetland",D38=""),"Not applicable",IF(AND(D5="Extended Detention Shallow Wetland",D38=""),"Not applicable",IF(AND(D5="Pond/Wetland System",D38=""),"",IF(AND(D5="Pocket Wetland",D38=""),"Not applicable",IF(AND(D5="Pond/Wetland System",D38&lt;0.25*F4),"Does not meet sizing criteria",""))))))</f>
        <v/>
      </c>
      <c r="G38" s="403"/>
      <c r="H38" s="401"/>
      <c r="I38" s="149"/>
      <c r="J38" s="12"/>
      <c r="K38" s="4">
        <f>IF(D194="Pond/Wetland System",D232,0)</f>
        <v>0</v>
      </c>
      <c r="L38" s="12" t="s">
        <v>2</v>
      </c>
      <c r="M38" s="4"/>
      <c r="N38" s="148"/>
      <c r="O38" s="4"/>
      <c r="P38" s="4">
        <f>IF(D194="Pocket Wetland",D232,0)</f>
        <v>0</v>
      </c>
      <c r="Q38" s="12" t="s">
        <v>2</v>
      </c>
    </row>
    <row r="39" spans="1:18" s="1" customFormat="1" ht="15" customHeight="1" x14ac:dyDescent="0.35">
      <c r="A39" s="266" t="s">
        <v>491</v>
      </c>
      <c r="B39" s="267"/>
      <c r="C39" s="268"/>
      <c r="D39" s="59"/>
      <c r="E39" s="193" t="s">
        <v>271</v>
      </c>
      <c r="F39" s="403" t="str">
        <f>IF(AND(D5="Shallow Wetland",D39=""),"Not applicable",IF(AND(D5="Extended Detention Shallow Wetland",D39=""),"If required, 3 ft max",IF(AND(D5="Pond/Wetland System",D39=""),"If required, 3 ft max",IF(AND(D5="Pocket Wetland",D39=""),"Not applicable",IF(AND(D5="Extended Detention Shallow Wetland",D39&gt;3),"Does not meet sizing criteria",IF(AND(D5="Pond/Wetland System",D39&gt;3),"Does not meet sizing criteria",""))))))</f>
        <v/>
      </c>
      <c r="G39" s="403"/>
      <c r="H39" s="401"/>
      <c r="I39" s="12"/>
      <c r="J39" s="12"/>
      <c r="K39" s="12"/>
      <c r="L39" s="12"/>
    </row>
    <row r="40" spans="1:18" s="1" customFormat="1" ht="15" customHeight="1" x14ac:dyDescent="0.35">
      <c r="A40" s="266" t="s">
        <v>492</v>
      </c>
      <c r="B40" s="267"/>
      <c r="C40" s="268"/>
      <c r="D40" s="59"/>
      <c r="E40" s="193" t="s">
        <v>336</v>
      </c>
      <c r="F40" s="403" t="str">
        <f>IF(AND(D5="Shallow Wetland",D40=""),"Not applicable",IF(AND(D5="Extended Detention Shallow Wetland",D40=""),"If required, 3:1 max",IF(AND(D5="Pond/Wetland System",D40=""),"If required, 3:1 max",IF(AND(D5="Pocket Wetland",D40=""),"Not applicable",IF(AND(D5="Extended Detention Shallow Wetland",D40&lt;3),"Does not meet sizing criteria",IF(AND(D5="Pond/Wetland System",D40&lt;3),"Does not meet sizing criteria",""))))))</f>
        <v/>
      </c>
      <c r="G40" s="403"/>
      <c r="H40" s="403"/>
    </row>
    <row r="41" spans="1:18" s="1" customFormat="1" ht="15" customHeight="1" x14ac:dyDescent="0.35">
      <c r="A41" s="266" t="s">
        <v>493</v>
      </c>
      <c r="B41" s="267"/>
      <c r="C41" s="268"/>
      <c r="D41" s="59"/>
      <c r="E41" s="193" t="s">
        <v>2</v>
      </c>
      <c r="F41" s="403" t="str">
        <f>IF(AND(D41="",D5=""),"",IF(AND(D5="Shallow Wetland",D41=""),"Not applicable",IF(AND(D5="Extended Detention Shallow Wetland",D41=""),"If required, 50% WQv max",IF(AND(D5="Pond/Wetland System",D41=""),"If required, 50% WQv max",IF(AND(D5="Pocket Wetland",D41=""),"Not applicable",IF(AND(D5="Extended Detention Shallow Wetland",D41&gt;0.5*F4),"Does not meet sizing criteria",IF(AND(D5="Pond/Wetland System",D41&gt;0.5*F4),"Does not meet sizing criteria","")))))))</f>
        <v/>
      </c>
      <c r="G41" s="403"/>
      <c r="H41" s="403"/>
      <c r="I41" s="145"/>
      <c r="J41" s="145"/>
      <c r="K41" s="145"/>
      <c r="L41" s="145"/>
      <c r="M41" s="145"/>
      <c r="N41" s="145"/>
      <c r="O41" s="145"/>
      <c r="P41" s="145"/>
      <c r="Q41" s="145"/>
      <c r="R41" s="145"/>
    </row>
    <row r="42" spans="1:18" s="145" customFormat="1" ht="14.25" customHeight="1" x14ac:dyDescent="0.35">
      <c r="A42" s="390" t="s">
        <v>468</v>
      </c>
      <c r="B42" s="390"/>
      <c r="C42" s="390"/>
      <c r="D42" s="390"/>
      <c r="E42" s="390"/>
      <c r="F42" s="390"/>
      <c r="G42" s="390"/>
      <c r="H42" s="390"/>
      <c r="I42" s="12"/>
      <c r="J42" s="12"/>
      <c r="K42" s="12"/>
      <c r="L42" s="12"/>
      <c r="M42" s="12"/>
      <c r="N42" s="12"/>
      <c r="O42" s="12"/>
      <c r="P42" s="12"/>
      <c r="Q42" s="12"/>
      <c r="R42" s="12"/>
    </row>
    <row r="43" spans="1:18" ht="13" x14ac:dyDescent="0.35">
      <c r="A43" s="398" t="s">
        <v>469</v>
      </c>
      <c r="B43" s="399"/>
      <c r="C43" s="400"/>
      <c r="D43" s="150" t="str">
        <f>IF(F4="","",IF(D8&gt;15,0,IF(AND(D9&gt;0.014,D10="No"),0,IF(AND(D11="Yes",D13&lt;2),0,IF(AND(D12="Yes",D13&lt;2),0,IF(AND(D5="Pocket Wetland",D11="Yes"),0,IF(AND(D5="Pocket Wetland",D12="Yes"),0,IF(AND(D12="Yes",D26&lt;F4),0,IF(D15="Yes",0,IF(D16="Yes",0,IF(D17="No",0,IF(D18="No",0,IF(D19="No",0,IF(D20&lt;1,0,IF(D22&gt;15,0,IF(D23&lt;12,0,IF(D26&lt;0.1*F4,0,IF(D27&gt;6,0,IF(D28&lt;3,0,IF(D29&lt;35,0,IF(D30&lt;6,0,IF(D30&gt;18,0,IF(D31&lt;5,0,IF(D32&lt;30,0,IF(D33&lt;4,0,IF(D34&lt;2,0,IF(D35&lt;0.1*F4,0,IF(AND(D5="Shallow Wetland",(D26+D35)&lt;0.25*F4),0,IF(AND(D5="Extended Detention Shallow Wetland",(D26+D35)&lt;0.25*F4),0,IF(AND(D5="Pocket Wetland",(D26+D35)&lt;0.25*F4),0,IF(AND(D5="Pond/Wetland System",D36&lt;4),0,IF(AND(D5="Pond/Wetland System",D37&lt;3),0,IF(AND(D5="Pond/Wetland System",D38&lt;0.25*F4),0,IF(F39="Does not meet sizing criteria",0,IF(F40="Does not meet sizing criteria",0,IF(F41="Does not meet sizing criteria",0,F4))))))))))))))))))))))))))))))))))))</f>
        <v/>
      </c>
      <c r="E43" s="398" t="s">
        <v>2</v>
      </c>
      <c r="F43" s="399"/>
      <c r="G43" s="399"/>
      <c r="H43" s="400"/>
    </row>
    <row r="44" spans="1:18" ht="13.15" customHeight="1" x14ac:dyDescent="0.35">
      <c r="A44" s="16" t="s">
        <v>56</v>
      </c>
      <c r="B44" s="225" t="str">
        <f>IF('STEP 2-WQv Calculation'!$B$4="","",'STEP 2-WQv Calculation'!$B$4)</f>
        <v/>
      </c>
      <c r="C44" s="199"/>
      <c r="D44" s="199"/>
      <c r="E44" s="199"/>
      <c r="F44" s="199"/>
      <c r="G44" s="199"/>
      <c r="H44" s="199"/>
    </row>
    <row r="45" spans="1:18" ht="13.15" customHeight="1" x14ac:dyDescent="0.35">
      <c r="A45" s="241" t="s">
        <v>293</v>
      </c>
      <c r="B45" s="241"/>
      <c r="C45" s="241"/>
      <c r="D45" s="241"/>
      <c r="E45" s="241"/>
      <c r="F45" s="241"/>
      <c r="G45" s="241"/>
      <c r="H45" s="236"/>
    </row>
    <row r="46" spans="1:18" ht="39" customHeight="1" x14ac:dyDescent="0.35">
      <c r="A46" s="204" t="s">
        <v>60</v>
      </c>
      <c r="B46" s="205" t="s">
        <v>61</v>
      </c>
      <c r="C46" s="205" t="s">
        <v>62</v>
      </c>
      <c r="D46" s="205" t="s">
        <v>63</v>
      </c>
      <c r="E46" s="205" t="s">
        <v>64</v>
      </c>
      <c r="F46" s="205" t="s">
        <v>65</v>
      </c>
      <c r="G46" s="205" t="s">
        <v>244</v>
      </c>
      <c r="H46" s="205" t="s">
        <v>13</v>
      </c>
    </row>
    <row r="47" spans="1:18" ht="26.25" customHeight="1" x14ac:dyDescent="0.35">
      <c r="A47" s="218"/>
      <c r="B47" s="3" t="str">
        <f>IF($A47="","",(LOOKUP($A47,'STEP 2-WQv Calculation'!$A$8:$A$37,'STEP 2-WQv Calculation'!$B$8:$B$37)))</f>
        <v/>
      </c>
      <c r="C47" s="3" t="str">
        <f>IF($A47="","",(LOOKUP($A47,'STEP 2-WQv Calculation'!$A$8:$A$37,'STEP 2-WQv Calculation'!$C$8:$C$37)))</f>
        <v/>
      </c>
      <c r="D47" s="212" t="str">
        <f>IF($A47="","",(LOOKUP($A47,'STEP 2-WQv Calculation'!$A$8:$A$37,'STEP 2-WQv Calculation'!$D$8:$D$37)))</f>
        <v/>
      </c>
      <c r="E47" s="3" t="str">
        <f>IF($A47="","",(LOOKUP($A47,'STEP 2-WQv Calculation'!$A$8:$A$37,'STEP 2-WQv Calculation'!$E$8:$E$37)))</f>
        <v/>
      </c>
      <c r="F47" s="217" t="str">
        <f>IF($A47="","",(LOOKUP($A47,'STEP 2-WQv Calculation'!$A$8:$A$37,'STEP 2-WQv Calculation'!$F$8:$F$37)))</f>
        <v/>
      </c>
      <c r="G47" s="22">
        <f>'STEP 2-WQv Calculation'!B5</f>
        <v>0</v>
      </c>
      <c r="H47" s="195" t="str">
        <f>IF($A47="","",(LOOKUP($A47,'STEP 2-WQv Calculation'!$A$8:$A$37,'STEP 2-WQv Calculation'!$G$8:$G$37)))</f>
        <v/>
      </c>
    </row>
    <row r="48" spans="1:18" ht="12.75" customHeight="1" x14ac:dyDescent="0.35">
      <c r="A48" s="322" t="s">
        <v>470</v>
      </c>
      <c r="B48" s="323"/>
      <c r="C48" s="324"/>
      <c r="D48" s="364"/>
      <c r="E48" s="365"/>
      <c r="F48" s="365"/>
      <c r="G48" s="365"/>
      <c r="H48" s="365"/>
    </row>
    <row r="49" spans="1:8" ht="13.15" customHeight="1" x14ac:dyDescent="0.3">
      <c r="A49" s="273" t="s">
        <v>226</v>
      </c>
      <c r="B49" s="273"/>
      <c r="C49" s="273"/>
      <c r="D49" s="273"/>
      <c r="E49" s="273"/>
      <c r="F49" s="273"/>
      <c r="G49" s="273"/>
      <c r="H49" s="248"/>
    </row>
    <row r="50" spans="1:8" ht="12.75" customHeight="1" x14ac:dyDescent="0.35">
      <c r="A50" s="242" t="s">
        <v>471</v>
      </c>
      <c r="B50" s="243"/>
      <c r="C50" s="244"/>
      <c r="D50" s="211"/>
      <c r="E50" s="401" t="str">
        <f>IF(D50="YES", "A permit is required","")</f>
        <v/>
      </c>
      <c r="F50" s="402"/>
      <c r="G50" s="402"/>
      <c r="H50" s="402"/>
    </row>
    <row r="51" spans="1:8" ht="12.75" customHeight="1" x14ac:dyDescent="0.35">
      <c r="A51" s="242" t="s">
        <v>472</v>
      </c>
      <c r="B51" s="243"/>
      <c r="C51" s="244"/>
      <c r="D51" s="43"/>
      <c r="E51" s="401" t="str">
        <f>IF(D51&gt;15,"Does not meet feasibility criteria","")</f>
        <v/>
      </c>
      <c r="F51" s="402"/>
      <c r="G51" s="402"/>
      <c r="H51" s="402"/>
    </row>
    <row r="52" spans="1:8" ht="27.75" customHeight="1" x14ac:dyDescent="0.35">
      <c r="A52" s="242" t="s">
        <v>442</v>
      </c>
      <c r="B52" s="243"/>
      <c r="C52" s="244"/>
      <c r="D52" s="43"/>
      <c r="E52" s="401" t="str">
        <f>IF(D52="","If an impermeable liner is provided, enter 0 in/hr",IF(D52&gt;0.014,"Does not meet feasibility criteria, provide an impermeable liner",""))</f>
        <v>If an impermeable liner is provided, enter 0 in/hr</v>
      </c>
      <c r="F52" s="402"/>
      <c r="G52" s="402"/>
      <c r="H52" s="402"/>
    </row>
    <row r="53" spans="1:8" ht="12.75" customHeight="1" x14ac:dyDescent="0.35">
      <c r="A53" s="242" t="s">
        <v>443</v>
      </c>
      <c r="B53" s="243"/>
      <c r="C53" s="244"/>
      <c r="D53" s="211"/>
      <c r="E53" s="401" t="str">
        <f>IF(AND(D52&gt;0.014,D53="No"),"Does not meet feasibility criteria","")</f>
        <v/>
      </c>
      <c r="F53" s="402"/>
      <c r="G53" s="402"/>
      <c r="H53" s="402"/>
    </row>
    <row r="54" spans="1:8" ht="12.75" customHeight="1" x14ac:dyDescent="0.35">
      <c r="A54" s="242" t="s">
        <v>473</v>
      </c>
      <c r="B54" s="243"/>
      <c r="C54" s="244"/>
      <c r="D54" s="211"/>
      <c r="E54" s="401" t="str">
        <f>IF(D54="","",IF(AND(D48="Pocket Wetland",D54="Yes"),"Does not meet feasibility criteria",""))</f>
        <v/>
      </c>
      <c r="F54" s="402"/>
      <c r="G54" s="402"/>
      <c r="H54" s="402"/>
    </row>
    <row r="55" spans="1:8" ht="12.75" customHeight="1" x14ac:dyDescent="0.35">
      <c r="A55" s="242" t="s">
        <v>474</v>
      </c>
      <c r="B55" s="243"/>
      <c r="C55" s="244"/>
      <c r="D55" s="211"/>
      <c r="E55" s="401" t="str">
        <f>IF(D55="","",IF(AND(D48="Shallow Wetland",D55="Yes"),"Provide 100% pretreatment",IF(AND(D48="Extended Detention Shallow Wetland",D55="Yes"),"Provide 100% pretreatment",IF(AND(D48="Pond/Wetland System",D55="Yes"),"Provide 100% pretreatment",IF(AND(D48="Pocket Wetland",D55="Yes"),"Does not meet feasibility criteria","")))))</f>
        <v/>
      </c>
      <c r="F55" s="402"/>
      <c r="G55" s="402"/>
      <c r="H55" s="402"/>
    </row>
    <row r="56" spans="1:8" ht="12.75" customHeight="1" x14ac:dyDescent="0.35">
      <c r="A56" s="242" t="s">
        <v>296</v>
      </c>
      <c r="B56" s="243"/>
      <c r="C56" s="244"/>
      <c r="D56" s="43"/>
      <c r="E56" s="401" t="str">
        <f>IF(D56="","",IF(AND(D54="Yes",D56&lt;2),"Does not meet feasibility criteria",IF(AND(D55="Yes",D56&lt;2),"Does not meet feasibility criteria","")))</f>
        <v/>
      </c>
      <c r="F56" s="402"/>
      <c r="G56" s="402"/>
      <c r="H56" s="402"/>
    </row>
    <row r="57" spans="1:8" ht="25.5" customHeight="1" x14ac:dyDescent="0.35">
      <c r="A57" s="242" t="s">
        <v>711</v>
      </c>
      <c r="B57" s="406"/>
      <c r="C57" s="407"/>
      <c r="D57" s="218"/>
      <c r="E57" s="218"/>
      <c r="F57" s="218"/>
      <c r="G57" s="198" t="s">
        <v>716</v>
      </c>
      <c r="H57" s="195">
        <f>IF($D57="",0,(LOOKUP($D57,'STEP 2-WQv Calculation'!$A$8:$A$37,'STEP 2-WQv Calculation'!$B$8:$B$37)))+IF($E57="",0,(LOOKUP($E57,'STEP 2-WQv Calculation'!$A$8:$A$37,'STEP 2-WQv Calculation'!$B$8:$B$37)))+IF($F57="",0,(LOOKUP($F57,'STEP 2-WQv Calculation'!$A$8:$A$37,'STEP 2-WQv Calculation'!$B$8:$B$37)))</f>
        <v>0</v>
      </c>
    </row>
    <row r="58" spans="1:8" ht="12.75" customHeight="1" x14ac:dyDescent="0.35">
      <c r="A58" s="242" t="s">
        <v>475</v>
      </c>
      <c r="B58" s="243"/>
      <c r="C58" s="244"/>
      <c r="D58" s="227" t="str">
        <f>IF(B47="","",IF(AND(D48="Shallow Wetland",(B47+H57)&lt;25),"Yes",IF(AND(D48="Extended Detention Shallow Wetland",(B47+H57)&lt;25),"Yes",IF(AND(D48="Pond/Wetland System",(B47+H57)&lt;25),"Yes",IF(AND(D48="Pocket Wetland",(B47+H57)&lt;5),"Yes","No")))))</f>
        <v/>
      </c>
      <c r="E58" s="401" t="str">
        <f>IF(D58="Yes","Does not meet feasibility criteria","")</f>
        <v/>
      </c>
      <c r="F58" s="402"/>
      <c r="G58" s="402"/>
      <c r="H58" s="402"/>
    </row>
    <row r="59" spans="1:8" ht="12.75" customHeight="1" x14ac:dyDescent="0.35">
      <c r="A59" s="242" t="s">
        <v>715</v>
      </c>
      <c r="B59" s="243"/>
      <c r="C59" s="244"/>
      <c r="D59" s="211"/>
      <c r="E59" s="401" t="str">
        <f>IF(D59="Yes","Does not meet feasibility criteria","")</f>
        <v/>
      </c>
      <c r="F59" s="402"/>
      <c r="G59" s="402"/>
      <c r="H59" s="402"/>
    </row>
    <row r="60" spans="1:8" ht="12.75" customHeight="1" x14ac:dyDescent="0.35">
      <c r="A60" s="242" t="s">
        <v>450</v>
      </c>
      <c r="B60" s="243"/>
      <c r="C60" s="244"/>
      <c r="D60" s="211"/>
      <c r="E60" s="401" t="str">
        <f>IF(D60="No","Does not meet conveyance criteria","")</f>
        <v/>
      </c>
      <c r="F60" s="402"/>
      <c r="G60" s="402"/>
      <c r="H60" s="402"/>
    </row>
    <row r="61" spans="1:8" ht="12.75" customHeight="1" x14ac:dyDescent="0.35">
      <c r="A61" s="242" t="s">
        <v>451</v>
      </c>
      <c r="B61" s="243"/>
      <c r="C61" s="244"/>
      <c r="D61" s="211"/>
      <c r="E61" s="401" t="str">
        <f>IF(D61="No","Does not meet conveyance criteria","")</f>
        <v/>
      </c>
      <c r="F61" s="402"/>
      <c r="G61" s="402"/>
      <c r="H61" s="402"/>
    </row>
    <row r="62" spans="1:8" ht="12.75" customHeight="1" x14ac:dyDescent="0.35">
      <c r="A62" s="242" t="s">
        <v>476</v>
      </c>
      <c r="B62" s="243"/>
      <c r="C62" s="244"/>
      <c r="D62" s="211"/>
      <c r="E62" s="401" t="str">
        <f>IF(D62="No","Does not meet pretreatment criteria","")</f>
        <v/>
      </c>
      <c r="F62" s="402"/>
      <c r="G62" s="402"/>
      <c r="H62" s="402"/>
    </row>
    <row r="63" spans="1:8" ht="12.75" customHeight="1" x14ac:dyDescent="0.35">
      <c r="A63" s="242" t="s">
        <v>453</v>
      </c>
      <c r="B63" s="243"/>
      <c r="C63" s="244"/>
      <c r="D63" s="43"/>
      <c r="E63" s="401" t="str">
        <f>IF(D63="","",IF(D63&lt;1,"Does not meet design criteria",""))</f>
        <v/>
      </c>
      <c r="F63" s="402"/>
      <c r="G63" s="402"/>
      <c r="H63" s="402"/>
    </row>
    <row r="64" spans="1:8" ht="12.75" customHeight="1" x14ac:dyDescent="0.35">
      <c r="A64" s="242" t="s">
        <v>454</v>
      </c>
      <c r="B64" s="243"/>
      <c r="C64" s="244"/>
      <c r="D64" s="43"/>
      <c r="E64" s="401" t="str">
        <f>IF(D64="","",IF(D64&lt;=3,"Safety bench required",""))</f>
        <v/>
      </c>
      <c r="F64" s="402"/>
      <c r="G64" s="402"/>
      <c r="H64" s="402"/>
    </row>
    <row r="65" spans="1:8" ht="12.75" customHeight="1" x14ac:dyDescent="0.35">
      <c r="A65" s="242" t="s">
        <v>460</v>
      </c>
      <c r="B65" s="243"/>
      <c r="C65" s="244"/>
      <c r="D65" s="43"/>
      <c r="E65" s="401" t="str">
        <f>IF(D65&gt;15,"Does not meet design criteria","")</f>
        <v/>
      </c>
      <c r="F65" s="402"/>
      <c r="G65" s="402"/>
      <c r="H65" s="402"/>
    </row>
    <row r="66" spans="1:8" ht="13.15" customHeight="1" x14ac:dyDescent="0.35">
      <c r="A66" s="242" t="s">
        <v>461</v>
      </c>
      <c r="B66" s="243"/>
      <c r="C66" s="244"/>
      <c r="D66" s="43"/>
      <c r="E66" s="401" t="str">
        <f>IF(D66="","",IF(D66&lt;12,"Does not meet design criteria",""))</f>
        <v/>
      </c>
      <c r="F66" s="402"/>
      <c r="G66" s="402"/>
      <c r="H66" s="402"/>
    </row>
    <row r="67" spans="1:8" ht="13" x14ac:dyDescent="0.35">
      <c r="A67" s="241" t="s">
        <v>232</v>
      </c>
      <c r="B67" s="241"/>
      <c r="C67" s="241"/>
      <c r="D67" s="241"/>
      <c r="E67" s="241"/>
      <c r="F67" s="241"/>
      <c r="G67" s="241"/>
      <c r="H67" s="236"/>
    </row>
    <row r="68" spans="1:8" ht="26.25" customHeight="1" x14ac:dyDescent="0.35">
      <c r="A68" s="378"/>
      <c r="B68" s="379"/>
      <c r="C68" s="380"/>
      <c r="D68" s="222" t="s">
        <v>256</v>
      </c>
      <c r="E68" s="208" t="s">
        <v>257</v>
      </c>
      <c r="F68" s="375" t="s">
        <v>258</v>
      </c>
      <c r="G68" s="376"/>
      <c r="H68" s="376"/>
    </row>
    <row r="69" spans="1:8" ht="12.75" customHeight="1" x14ac:dyDescent="0.35">
      <c r="A69" s="266" t="s">
        <v>477</v>
      </c>
      <c r="B69" s="267"/>
      <c r="C69" s="268"/>
      <c r="D69" s="59"/>
      <c r="E69" s="193" t="s">
        <v>2</v>
      </c>
      <c r="F69" s="403" t="str">
        <f>IF(AND(D69="",D47=""),"",IF(AND(D54="Yes",D69&lt;F46),"Does not meet design criteria",IF(AND(D47="Shallow Wetland",D69=""),"Forebay + Micropool ≥ 25% WQv?",IF(AND(D47="Extended Detention Shallow Wetland",D69=""),"Forebay + Micropool ≥ 25% WQv?",IF(AND(D47="Pond/Wetland System",D69=""),"",IF(AND(D47="Pocket Wetland",D69=""),"Forebay + Micropool ≥ 25% WQv?",IF(D69&lt;0.1*F46,"Does not meet sizing criteria",IF(AND(D53="Yes",D54="Yes",D69&lt;F46),"Does not meet sizing criteria",""))))))))</f>
        <v/>
      </c>
      <c r="G69" s="403"/>
      <c r="H69" s="401"/>
    </row>
    <row r="70" spans="1:8" ht="12.75" customHeight="1" x14ac:dyDescent="0.35">
      <c r="A70" s="266" t="s">
        <v>478</v>
      </c>
      <c r="B70" s="267"/>
      <c r="C70" s="268"/>
      <c r="D70" s="59"/>
      <c r="E70" s="193" t="s">
        <v>58</v>
      </c>
      <c r="F70" s="403" t="str">
        <f>IF(D70="","",IF(D70&gt;6,"Does not meet siizng criteria",""))</f>
        <v/>
      </c>
      <c r="G70" s="403"/>
      <c r="H70" s="401"/>
    </row>
    <row r="71" spans="1:8" ht="12.75" customHeight="1" x14ac:dyDescent="0.35">
      <c r="A71" s="266" t="s">
        <v>479</v>
      </c>
      <c r="B71" s="267"/>
      <c r="C71" s="268"/>
      <c r="D71" s="59"/>
      <c r="E71" s="193" t="s">
        <v>336</v>
      </c>
      <c r="F71" s="403" t="str">
        <f>IF(D71="","",IF(D71&lt;5,"Does not meet sizing criteria",""))</f>
        <v/>
      </c>
      <c r="G71" s="403"/>
      <c r="H71" s="401"/>
    </row>
    <row r="72" spans="1:8" ht="12.75" customHeight="1" x14ac:dyDescent="0.35">
      <c r="A72" s="266" t="s">
        <v>480</v>
      </c>
      <c r="B72" s="267"/>
      <c r="C72" s="268"/>
      <c r="D72" s="59"/>
      <c r="E72" s="193" t="s">
        <v>481</v>
      </c>
      <c r="F72" s="403" t="str">
        <f>IF(D72="","",IF(D72&lt;35,"Does not meet sizing criteria",""))</f>
        <v/>
      </c>
      <c r="G72" s="403"/>
      <c r="H72" s="401"/>
    </row>
    <row r="73" spans="1:8" ht="12.75" customHeight="1" x14ac:dyDescent="0.35">
      <c r="A73" s="266" t="s">
        <v>482</v>
      </c>
      <c r="B73" s="267"/>
      <c r="C73" s="268"/>
      <c r="D73" s="59"/>
      <c r="E73" s="193" t="s">
        <v>58</v>
      </c>
      <c r="F73" s="403" t="str">
        <f>IF(D73="","",IF(D73&lt;6,"Does not meet sizing criteria",IF(D73&gt;18,"Does not meet sizing criteria","")))</f>
        <v/>
      </c>
      <c r="G73" s="403"/>
      <c r="H73" s="401"/>
    </row>
    <row r="74" spans="1:8" ht="12.75" customHeight="1" x14ac:dyDescent="0.35">
      <c r="A74" s="266" t="s">
        <v>483</v>
      </c>
      <c r="B74" s="267"/>
      <c r="C74" s="268"/>
      <c r="D74" s="59"/>
      <c r="E74" s="193" t="s">
        <v>336</v>
      </c>
      <c r="F74" s="403" t="str">
        <f>IF(D74="","",IF(D74&lt;5,"Does not meet sizing criteria",""))</f>
        <v/>
      </c>
      <c r="G74" s="403"/>
      <c r="H74" s="401"/>
    </row>
    <row r="75" spans="1:8" ht="12.75" customHeight="1" x14ac:dyDescent="0.35">
      <c r="A75" s="266" t="s">
        <v>484</v>
      </c>
      <c r="B75" s="267"/>
      <c r="C75" s="268"/>
      <c r="D75" s="59"/>
      <c r="E75" s="193" t="s">
        <v>481</v>
      </c>
      <c r="F75" s="403" t="str">
        <f>IF(D75="","",IF(D75&lt;30,"Does not meet sizing criteria",""))</f>
        <v/>
      </c>
      <c r="G75" s="403"/>
      <c r="H75" s="401"/>
    </row>
    <row r="76" spans="1:8" ht="12.75" customHeight="1" x14ac:dyDescent="0.35">
      <c r="A76" s="266" t="s">
        <v>485</v>
      </c>
      <c r="B76" s="267"/>
      <c r="C76" s="268"/>
      <c r="D76" s="59"/>
      <c r="E76" s="193" t="s">
        <v>271</v>
      </c>
      <c r="F76" s="403" t="str">
        <f>IF(D76="","",IF(D76&lt;4,"Does not meet sizing criteria",""))</f>
        <v/>
      </c>
      <c r="G76" s="403"/>
      <c r="H76" s="401"/>
    </row>
    <row r="77" spans="1:8" ht="26.25" customHeight="1" x14ac:dyDescent="0.35">
      <c r="A77" s="266" t="s">
        <v>486</v>
      </c>
      <c r="B77" s="267"/>
      <c r="C77" s="268"/>
      <c r="D77" s="59"/>
      <c r="E77" s="193" t="s">
        <v>336</v>
      </c>
      <c r="F77" s="403" t="str">
        <f>IF(D77="","",IF(D77&lt;3,"Does not meet sizing criteria",""))</f>
        <v/>
      </c>
      <c r="G77" s="403"/>
      <c r="H77" s="401"/>
    </row>
    <row r="78" spans="1:8" ht="12.75" customHeight="1" x14ac:dyDescent="0.35">
      <c r="A78" s="266" t="s">
        <v>487</v>
      </c>
      <c r="B78" s="267"/>
      <c r="C78" s="268"/>
      <c r="D78" s="59"/>
      <c r="E78" s="193" t="s">
        <v>2</v>
      </c>
      <c r="F78" s="403" t="str">
        <f>IF(AND(D78="",D47=""),"",IF(AND(D47="Shallow Wetland",D78=""),"Forebay + Micropool ≥ 25% WQv?",IF(AND(D47="Extended Detention Shallow Wetland",D78=""),"Forebay + Micropool ≥ 25% WQv?",IF(AND(D47="Pond/Wetland System",D78=""),"",IF(AND(D47="Pocket Wetland",D78=""),"Forebay + Micropool ≥ 25% WQv?",IF(AND(D47="Shallow Wetland",(D69+D78)&lt;0.25*F46),"Does not meet sizing criteria",IF(AND(D47="Extended Detention Shallow Wetland",(D69+D78)&lt;0.25*F46),"Does not meet sizing criteria",IF((D78&lt;0.1*F46),"Does not meet sizing criteria",IF(AND(D47="Pocket Wetland",(D69+D78)&lt;0.25*F46),"Does not meet sizing criteria","")))))))))</f>
        <v/>
      </c>
      <c r="G78" s="403"/>
      <c r="H78" s="401"/>
    </row>
    <row r="79" spans="1:8" ht="12.75" customHeight="1" x14ac:dyDescent="0.35">
      <c r="A79" s="266" t="s">
        <v>488</v>
      </c>
      <c r="B79" s="267"/>
      <c r="C79" s="268"/>
      <c r="D79" s="59"/>
      <c r="E79" s="193" t="s">
        <v>271</v>
      </c>
      <c r="F79" s="403" t="str">
        <f>IF(AND(D48="Shallow Wetland",D79=""),"Not applicable",IF(AND(D48="Extended Detention Shallow Wetland",D79=""),"Not applicable",IF(AND(D48="Pond/Wetland System",D79=""),"",IF(AND(D48="Pocket Wetland",D79=""),"Not applicable",IF(AND(D48="Pond/Wetland System",D79&lt;4),"Does not meet sizing criteria","")))))</f>
        <v/>
      </c>
      <c r="G79" s="403"/>
      <c r="H79" s="401"/>
    </row>
    <row r="80" spans="1:8" ht="12.75" customHeight="1" x14ac:dyDescent="0.35">
      <c r="A80" s="266" t="s">
        <v>489</v>
      </c>
      <c r="B80" s="267"/>
      <c r="C80" s="268"/>
      <c r="D80" s="59"/>
      <c r="E80" s="193" t="s">
        <v>336</v>
      </c>
      <c r="F80" s="403" t="str">
        <f>IF(AND(D48="Shallow Wetland",D80=""),"Not applicable",IF(AND(D48="Extended Detention Shallow Wetland",D80=""),"Not applicable",IF(AND(D48="Pond/Wetland System",D80=""),"",IF(AND(D48="Pocket Wetland",D80=""),"Not applicable",IF(AND(D48="Pond/Wetland System",D80&lt;3),"Does not meet sizing criteria","")))))</f>
        <v/>
      </c>
      <c r="G80" s="403"/>
      <c r="H80" s="401"/>
    </row>
    <row r="81" spans="1:8" ht="12.75" customHeight="1" x14ac:dyDescent="0.35">
      <c r="A81" s="266" t="s">
        <v>490</v>
      </c>
      <c r="B81" s="267"/>
      <c r="C81" s="268"/>
      <c r="D81" s="59"/>
      <c r="E81" s="193" t="s">
        <v>2</v>
      </c>
      <c r="F81" s="403" t="str">
        <f>IF(AND(D81="",D47=""),"",IF(AND(D47="Shallow Wetland",D81=""),"Not applicable",IF(AND(D47="Extended Detention Shallow Wetland",D81=""),"Not applicable",IF(AND(D47="Pond/Wetland System",D81=""),"",IF(AND(D47="Pocket Wetland",D81=""),"Not applicable",IF(AND(D47="Pond/Wetland System",D81&lt;0.25*F46),"Does not meet sizing criteria",""))))))</f>
        <v/>
      </c>
      <c r="G81" s="403"/>
      <c r="H81" s="401"/>
    </row>
    <row r="82" spans="1:8" ht="12.75" customHeight="1" x14ac:dyDescent="0.35">
      <c r="A82" s="266" t="s">
        <v>491</v>
      </c>
      <c r="B82" s="267"/>
      <c r="C82" s="268"/>
      <c r="D82" s="59"/>
      <c r="E82" s="193" t="s">
        <v>271</v>
      </c>
      <c r="F82" s="403" t="str">
        <f>IF(AND(D47="Shallow Wetland",D82=""),"Not applicable",IF(AND(D47="Extended Detention Shallow Wetland",D82=""),"If required, 3 ft max",IF(AND(D47="Pond/Wetland System",D82=""),"If required, 3 ft max",IF(AND(D47="Pocket Wetland",D82=""),"Not applicable",IF(AND(D47="Extended Detention Shallow Wetland",D82&gt;3),"Does not meet sizing criteria",IF(AND(D47="Pond/Wetland System",D82&gt;3),"Does not meet sizing criteria",""))))))</f>
        <v/>
      </c>
      <c r="G82" s="403"/>
      <c r="H82" s="401"/>
    </row>
    <row r="83" spans="1:8" ht="12.75" customHeight="1" x14ac:dyDescent="0.35">
      <c r="A83" s="266" t="s">
        <v>492</v>
      </c>
      <c r="B83" s="267"/>
      <c r="C83" s="268"/>
      <c r="D83" s="59"/>
      <c r="E83" s="193" t="s">
        <v>336</v>
      </c>
      <c r="F83" s="403" t="str">
        <f>IF(AND(D47="Shallow Wetland",D83=""),"Not applicable",IF(AND(D47="Extended Detention Shallow Wetland",D83=""),"If required, 3:1 max",IF(AND(D47="Pond/Wetland System",D83=""),"If required, 3:1 max",IF(AND(D47="Pocket Wetland",D83=""),"Not applicable",IF(AND(D47="Extended Detention Shallow Wetland",D83&lt;3),"Does not meet sizing criteria",IF(AND(D47="Pond/Wetland System",D83&lt;3),"Does not meet sizing criteria",""))))))</f>
        <v/>
      </c>
      <c r="G83" s="403"/>
      <c r="H83" s="403"/>
    </row>
    <row r="84" spans="1:8" ht="13.15" customHeight="1" x14ac:dyDescent="0.35">
      <c r="A84" s="266" t="s">
        <v>493</v>
      </c>
      <c r="B84" s="267"/>
      <c r="C84" s="268"/>
      <c r="D84" s="59"/>
      <c r="E84" s="193" t="s">
        <v>2</v>
      </c>
      <c r="F84" s="403" t="str">
        <f>IF(AND(D84="",D47=""),"",IF(AND(D47="Shallow Wetland",D84=""),"Not applicable",IF(AND(D47="Extended Detention Shallow Wetland",D84=""),"If required, 50% WQv max",IF(AND(D47="Pond/Wetland System",D84=""),"If required, 50% WQv max",IF(AND(D47="Pocket Wetland",D84=""),"Not applicable",IF(AND(D47="Extended Detention Shallow Wetland",D84&gt;0.5*F46),"Does not meet sizing criteria",IF(AND(D47="Pond/Wetland System",D84&gt;0.5*F46),"Does not meet sizing criteria","")))))))</f>
        <v/>
      </c>
      <c r="G84" s="403"/>
      <c r="H84" s="403"/>
    </row>
    <row r="85" spans="1:8" ht="13.15" customHeight="1" x14ac:dyDescent="0.35">
      <c r="A85" s="390" t="s">
        <v>468</v>
      </c>
      <c r="B85" s="390"/>
      <c r="C85" s="390"/>
      <c r="D85" s="390"/>
      <c r="E85" s="390"/>
      <c r="F85" s="390"/>
      <c r="G85" s="390"/>
      <c r="H85" s="390"/>
    </row>
    <row r="86" spans="1:8" ht="13" x14ac:dyDescent="0.35">
      <c r="A86" s="398" t="s">
        <v>469</v>
      </c>
      <c r="B86" s="399"/>
      <c r="C86" s="400"/>
      <c r="D86" s="150" t="str">
        <f>IF(F47="","",IF(D51&gt;15,0,IF(AND(D52&gt;0.014,D53="No"),0,IF(AND(D54="Yes",D56&lt;2),0,IF(AND(D55="Yes",D56&lt;2),0,IF(AND(D48="Pocket Wetland",D54="Yes"),0,IF(AND(D48="Pocket Wetland",D55="Yes"),0,IF(AND(D55="Yes",D69&lt;F47),0,IF(D58="Yes",0,IF(D59="Yes",0,IF(D60="No",0,IF(D61="No",0,IF(D62="No",0,IF(D63&lt;1,0,IF(D65&gt;15,0,IF(D66&lt;12,0,IF(D69&lt;0.1*F47,0,IF(D70&gt;6,0,IF(D71&lt;3,0,IF(D72&lt;35,0,IF(D73&lt;6,0,IF(D73&gt;18,0,IF(D74&lt;5,0,IF(D75&lt;30,0,IF(D76&lt;4,0,IF(D77&lt;2,0,IF(D78&lt;0.1*F47,0,IF(AND(D48="Shallow Wetland",(D69+D78)&lt;0.25*F47),0,IF(AND(D48="Extended Detention Shallow Wetland",(D69+D78)&lt;0.25*F47),0,IF(AND(D48="Pocket Wetland",(D69+D78)&lt;0.25*F47),0,IF(AND(D48="Pond/Wetland System",D79&lt;4),0,IF(AND(D48="Pond/Wetland System",D80&lt;3),0,IF(AND(D48="Pond/Wetland System",D81&lt;0.25*F47),0,IF(F82="Does not meet sizing criteria",0,IF(F83="Does not meet sizing criteria",0,IF(F84="Does not meet sizing criteria",0,F47))))))))))))))))))))))))))))))))))))</f>
        <v/>
      </c>
      <c r="E86" s="398" t="s">
        <v>2</v>
      </c>
      <c r="F86" s="399"/>
      <c r="G86" s="399"/>
      <c r="H86" s="400"/>
    </row>
    <row r="91" spans="1:8" ht="13.15" customHeight="1" x14ac:dyDescent="0.35"/>
    <row r="92" spans="1:8" ht="13.15" customHeight="1" x14ac:dyDescent="0.35">
      <c r="A92" s="16" t="s">
        <v>56</v>
      </c>
      <c r="B92" s="225" t="str">
        <f>IF('STEP 2-WQv Calculation'!$B$4="","",'STEP 2-WQv Calculation'!$B$4)</f>
        <v/>
      </c>
      <c r="C92" s="199"/>
      <c r="D92" s="199"/>
      <c r="E92" s="199"/>
      <c r="F92" s="199"/>
      <c r="G92" s="199"/>
      <c r="H92" s="199"/>
    </row>
    <row r="93" spans="1:8" ht="39" customHeight="1" x14ac:dyDescent="0.35">
      <c r="A93" s="241" t="s">
        <v>293</v>
      </c>
      <c r="B93" s="241"/>
      <c r="C93" s="241"/>
      <c r="D93" s="241"/>
      <c r="E93" s="241"/>
      <c r="F93" s="241"/>
      <c r="G93" s="241"/>
      <c r="H93" s="236"/>
    </row>
    <row r="94" spans="1:8" ht="25.5" customHeight="1" x14ac:dyDescent="0.35">
      <c r="A94" s="204" t="s">
        <v>60</v>
      </c>
      <c r="B94" s="205" t="s">
        <v>61</v>
      </c>
      <c r="C94" s="205" t="s">
        <v>62</v>
      </c>
      <c r="D94" s="205" t="s">
        <v>63</v>
      </c>
      <c r="E94" s="205" t="s">
        <v>64</v>
      </c>
      <c r="F94" s="205" t="s">
        <v>65</v>
      </c>
      <c r="G94" s="205" t="s">
        <v>244</v>
      </c>
      <c r="H94" s="205" t="s">
        <v>13</v>
      </c>
    </row>
    <row r="95" spans="1:8" ht="12.75" customHeight="1" x14ac:dyDescent="0.35">
      <c r="A95" s="218"/>
      <c r="B95" s="3" t="str">
        <f>IF($A95="","",(LOOKUP($A95,'STEP 2-WQv Calculation'!$A$8:$A$37,'STEP 2-WQv Calculation'!$B$8:$B$37)))</f>
        <v/>
      </c>
      <c r="C95" s="3" t="str">
        <f>IF($A95="","",(LOOKUP($A95,'STEP 2-WQv Calculation'!$A$8:$A$37,'STEP 2-WQv Calculation'!$C$8:$C$37)))</f>
        <v/>
      </c>
      <c r="D95" s="212" t="str">
        <f>IF($A95="","",(LOOKUP($A95,'STEP 2-WQv Calculation'!$A$8:$A$37,'STEP 2-WQv Calculation'!$D$8:$D$37)))</f>
        <v/>
      </c>
      <c r="E95" s="3" t="str">
        <f>IF($A95="","",(LOOKUP($A95,'STEP 2-WQv Calculation'!$A$8:$A$37,'STEP 2-WQv Calculation'!$E$8:$E$37)))</f>
        <v/>
      </c>
      <c r="F95" s="217" t="str">
        <f>IF($A95="","",(LOOKUP($A95,'STEP 2-WQv Calculation'!$A$8:$A$37,'STEP 2-WQv Calculation'!$F$8:$F$37)))</f>
        <v/>
      </c>
      <c r="G95" s="22">
        <f>'STEP 2-WQv Calculation'!B5</f>
        <v>0</v>
      </c>
      <c r="H95" s="195" t="str">
        <f>IF($A95="","",(LOOKUP($A95,'STEP 2-WQv Calculation'!$A$8:$A$37,'STEP 2-WQv Calculation'!$G$8:$G$37)))</f>
        <v/>
      </c>
    </row>
    <row r="96" spans="1:8" ht="13.15" customHeight="1" x14ac:dyDescent="0.35">
      <c r="A96" s="322" t="s">
        <v>470</v>
      </c>
      <c r="B96" s="323"/>
      <c r="C96" s="324"/>
      <c r="D96" s="364"/>
      <c r="E96" s="365"/>
      <c r="F96" s="365"/>
      <c r="G96" s="365"/>
      <c r="H96" s="365"/>
    </row>
    <row r="97" spans="1:8" ht="12.75" customHeight="1" x14ac:dyDescent="0.3">
      <c r="A97" s="273" t="s">
        <v>226</v>
      </c>
      <c r="B97" s="273"/>
      <c r="C97" s="273"/>
      <c r="D97" s="273"/>
      <c r="E97" s="273"/>
      <c r="F97" s="273"/>
      <c r="G97" s="273"/>
      <c r="H97" s="248"/>
    </row>
    <row r="98" spans="1:8" ht="12.75" customHeight="1" x14ac:dyDescent="0.35">
      <c r="A98" s="242" t="s">
        <v>471</v>
      </c>
      <c r="B98" s="243"/>
      <c r="C98" s="244"/>
      <c r="D98" s="211"/>
      <c r="E98" s="401" t="str">
        <f>IF(D98="YES", "A permit is required","")</f>
        <v/>
      </c>
      <c r="F98" s="402"/>
      <c r="G98" s="402"/>
      <c r="H98" s="402"/>
    </row>
    <row r="99" spans="1:8" ht="26.25" customHeight="1" x14ac:dyDescent="0.35">
      <c r="A99" s="242" t="s">
        <v>472</v>
      </c>
      <c r="B99" s="243"/>
      <c r="C99" s="244"/>
      <c r="D99" s="43"/>
      <c r="E99" s="401" t="str">
        <f>IF(D99&gt;15,"Does not meet feasibility criteria","")</f>
        <v/>
      </c>
      <c r="F99" s="402"/>
      <c r="G99" s="402"/>
      <c r="H99" s="402"/>
    </row>
    <row r="100" spans="1:8" ht="12.75" customHeight="1" x14ac:dyDescent="0.35">
      <c r="A100" s="242" t="s">
        <v>442</v>
      </c>
      <c r="B100" s="243"/>
      <c r="C100" s="244"/>
      <c r="D100" s="43"/>
      <c r="E100" s="401" t="str">
        <f>IF(D100="","If an impermeable liner is provided, enter 0 in/hr",IF(D100&gt;0.014,"Does not meet feasibility criteria, provide an impermeable liner",""))</f>
        <v>If an impermeable liner is provided, enter 0 in/hr</v>
      </c>
      <c r="F100" s="402"/>
      <c r="G100" s="402"/>
      <c r="H100" s="402"/>
    </row>
    <row r="101" spans="1:8" ht="12.75" customHeight="1" x14ac:dyDescent="0.35">
      <c r="A101" s="242" t="s">
        <v>443</v>
      </c>
      <c r="B101" s="243"/>
      <c r="C101" s="244"/>
      <c r="D101" s="211"/>
      <c r="E101" s="401" t="str">
        <f>IF(AND(D100&gt;0.014,D101="No"),"Does not meet feasibility criteria","")</f>
        <v/>
      </c>
      <c r="F101" s="402"/>
      <c r="G101" s="402"/>
      <c r="H101" s="402"/>
    </row>
    <row r="102" spans="1:8" ht="12.75" customHeight="1" x14ac:dyDescent="0.35">
      <c r="A102" s="242" t="s">
        <v>473</v>
      </c>
      <c r="B102" s="243"/>
      <c r="C102" s="244"/>
      <c r="D102" s="211"/>
      <c r="E102" s="401" t="str">
        <f>IF(D102="","",IF(AND(D96="Pocket Wetland",D102="Yes"),"Does not meet feasibility criteria",""))</f>
        <v/>
      </c>
      <c r="F102" s="402"/>
      <c r="G102" s="402"/>
      <c r="H102" s="402"/>
    </row>
    <row r="103" spans="1:8" ht="12.75" customHeight="1" x14ac:dyDescent="0.35">
      <c r="A103" s="242" t="s">
        <v>474</v>
      </c>
      <c r="B103" s="243"/>
      <c r="C103" s="244"/>
      <c r="D103" s="211"/>
      <c r="E103" s="401" t="str">
        <f>IF(D103="","",IF(AND(D96="Shallow Wetland",D103="Yes"),"Provide 100% pretreatment",IF(AND(D96="Extended Detention Shallow Wetland",D103="Yes"),"Provide 100% pretreatment",IF(AND(D96="Pond/Wetland System",D103="Yes"),"Provide 100% pretreatment",IF(AND(D96="Pocket Wetland",D103="Yes"),"Does not meet feasibility criteria","")))))</f>
        <v/>
      </c>
      <c r="F103" s="402"/>
      <c r="G103" s="402"/>
      <c r="H103" s="402"/>
    </row>
    <row r="104" spans="1:8" ht="12.75" customHeight="1" x14ac:dyDescent="0.35">
      <c r="A104" s="242" t="s">
        <v>296</v>
      </c>
      <c r="B104" s="243"/>
      <c r="C104" s="244"/>
      <c r="D104" s="43"/>
      <c r="E104" s="401" t="str">
        <f>IF(D104="","",IF(AND(D102="Yes",D104&lt;2),"Does not meet feasibility criteria",IF(AND(D103="Yes",D104&lt;2),"Does not meet feasibility criteria","")))</f>
        <v/>
      </c>
      <c r="F104" s="402"/>
      <c r="G104" s="402"/>
      <c r="H104" s="402"/>
    </row>
    <row r="105" spans="1:8" ht="27" customHeight="1" x14ac:dyDescent="0.35">
      <c r="A105" s="242" t="s">
        <v>711</v>
      </c>
      <c r="B105" s="406"/>
      <c r="C105" s="407"/>
      <c r="D105" s="218"/>
      <c r="E105" s="218"/>
      <c r="F105" s="218"/>
      <c r="G105" s="198" t="s">
        <v>716</v>
      </c>
      <c r="H105" s="195">
        <f>IF($D105="",0,(LOOKUP($D105,'STEP 2-WQv Calculation'!$A$8:$A$37,'STEP 2-WQv Calculation'!$B$8:$B$37)))+IF($E105="",0,(LOOKUP($E105,'STEP 2-WQv Calculation'!$A$8:$A$37,'STEP 2-WQv Calculation'!$B$8:$B$37)))+IF($F105="",0,(LOOKUP($F105,'STEP 2-WQv Calculation'!$A$8:$A$37,'STEP 2-WQv Calculation'!$B$8:$B$37)))</f>
        <v>0</v>
      </c>
    </row>
    <row r="106" spans="1:8" ht="12.75" customHeight="1" x14ac:dyDescent="0.35">
      <c r="A106" s="242" t="s">
        <v>475</v>
      </c>
      <c r="B106" s="243"/>
      <c r="C106" s="244"/>
      <c r="D106" s="227" t="str">
        <f>IF(B95="","",IF(AND(D96="Shallow Wetland",(B95+H105)&lt;25),"Yes",IF(AND(D96="Extended Detention Shallow Wetland",(B95+H105)&lt;25),"Yes",IF(AND(D96="Pond/Wetland System",(B95+H105)&lt;25),"Yes",IF(AND(D96="Pocket Wetland",(B95+H105)&lt;5),"Yes","No")))))</f>
        <v/>
      </c>
      <c r="E106" s="401" t="str">
        <f>IF(D106="Yes","Does not meet feasibility criteria","")</f>
        <v/>
      </c>
      <c r="F106" s="402"/>
      <c r="G106" s="402"/>
      <c r="H106" s="402"/>
    </row>
    <row r="107" spans="1:8" ht="12.75" customHeight="1" x14ac:dyDescent="0.35">
      <c r="A107" s="242" t="s">
        <v>715</v>
      </c>
      <c r="B107" s="243"/>
      <c r="C107" s="244"/>
      <c r="D107" s="211"/>
      <c r="E107" s="401" t="str">
        <f>IF(D107="Yes","Does not meet feasibility criteria","")</f>
        <v/>
      </c>
      <c r="F107" s="402"/>
      <c r="G107" s="402"/>
      <c r="H107" s="402"/>
    </row>
    <row r="108" spans="1:8" ht="12.75" customHeight="1" x14ac:dyDescent="0.35">
      <c r="A108" s="242" t="s">
        <v>450</v>
      </c>
      <c r="B108" s="243"/>
      <c r="C108" s="244"/>
      <c r="D108" s="211"/>
      <c r="E108" s="401" t="str">
        <f>IF(D108="No","Does not meet conveyance criteria","")</f>
        <v/>
      </c>
      <c r="F108" s="402"/>
      <c r="G108" s="402"/>
      <c r="H108" s="402"/>
    </row>
    <row r="109" spans="1:8" ht="12.75" customHeight="1" x14ac:dyDescent="0.35">
      <c r="A109" s="242" t="s">
        <v>451</v>
      </c>
      <c r="B109" s="243"/>
      <c r="C109" s="244"/>
      <c r="D109" s="211"/>
      <c r="E109" s="401" t="str">
        <f>IF(D109="No","Does not meet conveyance criteria","")</f>
        <v/>
      </c>
      <c r="F109" s="402"/>
      <c r="G109" s="402"/>
      <c r="H109" s="402"/>
    </row>
    <row r="110" spans="1:8" ht="12.75" customHeight="1" x14ac:dyDescent="0.35">
      <c r="A110" s="242" t="s">
        <v>476</v>
      </c>
      <c r="B110" s="243"/>
      <c r="C110" s="244"/>
      <c r="D110" s="211"/>
      <c r="E110" s="401" t="str">
        <f>IF(D110="No","Does not meet pretreatment criteria","")</f>
        <v/>
      </c>
      <c r="F110" s="402"/>
      <c r="G110" s="402"/>
      <c r="H110" s="402"/>
    </row>
    <row r="111" spans="1:8" ht="12.75" customHeight="1" x14ac:dyDescent="0.35">
      <c r="A111" s="242" t="s">
        <v>453</v>
      </c>
      <c r="B111" s="243"/>
      <c r="C111" s="244"/>
      <c r="D111" s="43"/>
      <c r="E111" s="401" t="str">
        <f>IF(D111="","",IF(D111&lt;1,"Does not meet design criteria",""))</f>
        <v/>
      </c>
      <c r="F111" s="402"/>
      <c r="G111" s="402"/>
      <c r="H111" s="402"/>
    </row>
    <row r="112" spans="1:8" ht="12.75" customHeight="1" x14ac:dyDescent="0.35">
      <c r="A112" s="242" t="s">
        <v>454</v>
      </c>
      <c r="B112" s="243"/>
      <c r="C112" s="244"/>
      <c r="D112" s="43"/>
      <c r="E112" s="401" t="str">
        <f>IF(D112="","",IF(D112&lt;=3,"Safety bench required",""))</f>
        <v/>
      </c>
      <c r="F112" s="402"/>
      <c r="G112" s="402"/>
      <c r="H112" s="402"/>
    </row>
    <row r="113" spans="1:8" ht="13.15" customHeight="1" x14ac:dyDescent="0.35">
      <c r="A113" s="242" t="s">
        <v>460</v>
      </c>
      <c r="B113" s="243"/>
      <c r="C113" s="244"/>
      <c r="D113" s="43"/>
      <c r="E113" s="401" t="str">
        <f>IF(D113&gt;15,"Does not meet design criteria","")</f>
        <v/>
      </c>
      <c r="F113" s="402"/>
      <c r="G113" s="402"/>
      <c r="H113" s="402"/>
    </row>
    <row r="114" spans="1:8" x14ac:dyDescent="0.35">
      <c r="A114" s="242" t="s">
        <v>461</v>
      </c>
      <c r="B114" s="243"/>
      <c r="C114" s="244"/>
      <c r="D114" s="43"/>
      <c r="E114" s="401" t="str">
        <f>IF(D114="","",IF(D114&lt;12,"Does not meet design criteria",""))</f>
        <v/>
      </c>
      <c r="F114" s="402"/>
      <c r="G114" s="402"/>
      <c r="H114" s="402"/>
    </row>
    <row r="115" spans="1:8" ht="12.75" customHeight="1" x14ac:dyDescent="0.35">
      <c r="A115" s="241" t="s">
        <v>232</v>
      </c>
      <c r="B115" s="241"/>
      <c r="C115" s="241"/>
      <c r="D115" s="241"/>
      <c r="E115" s="241"/>
      <c r="F115" s="241"/>
      <c r="G115" s="241"/>
      <c r="H115" s="236"/>
    </row>
    <row r="116" spans="1:8" ht="12.75" customHeight="1" x14ac:dyDescent="0.35">
      <c r="A116" s="378"/>
      <c r="B116" s="379"/>
      <c r="C116" s="380"/>
      <c r="D116" s="222" t="s">
        <v>256</v>
      </c>
      <c r="E116" s="208" t="s">
        <v>257</v>
      </c>
      <c r="F116" s="375" t="s">
        <v>258</v>
      </c>
      <c r="G116" s="376"/>
      <c r="H116" s="376"/>
    </row>
    <row r="117" spans="1:8" ht="12.75" customHeight="1" x14ac:dyDescent="0.35">
      <c r="A117" s="266" t="s">
        <v>477</v>
      </c>
      <c r="B117" s="267"/>
      <c r="C117" s="268"/>
      <c r="D117" s="59"/>
      <c r="E117" s="193" t="s">
        <v>2</v>
      </c>
      <c r="F117" s="403" t="str">
        <f>IF(AND(D117="",D95=""),"",IF(AND(D102="Yes",D117&lt;F94),"Does not meet design criteria",IF(AND(D95="Shallow Wetland",D117=""),"Forebay + Micropool ≥ 25% WQv?",IF(AND(D95="Extended Detention Shallow Wetland",D117=""),"Forebay + Micropool ≥ 25% WQv?",IF(AND(D95="Pond/Wetland System",D117=""),"",IF(AND(D95="Pocket Wetland",D117=""),"Forebay + Micropool ≥ 25% WQv?",IF(D117&lt;0.1*F94,"Does not meet sizing criteria",IF(AND(D101="Yes",D102="Yes",D117&lt;F94),"Does not meet sizing criteria",""))))))))</f>
        <v/>
      </c>
      <c r="G117" s="403"/>
      <c r="H117" s="401"/>
    </row>
    <row r="118" spans="1:8" ht="12.75" customHeight="1" x14ac:dyDescent="0.35">
      <c r="A118" s="266" t="s">
        <v>478</v>
      </c>
      <c r="B118" s="267"/>
      <c r="C118" s="268"/>
      <c r="D118" s="59"/>
      <c r="E118" s="193" t="s">
        <v>58</v>
      </c>
      <c r="F118" s="403" t="str">
        <f>IF(D118="","",IF(D118&gt;6,"Does not meet siizng criteria",""))</f>
        <v/>
      </c>
      <c r="G118" s="403"/>
      <c r="H118" s="401"/>
    </row>
    <row r="119" spans="1:8" ht="12.75" customHeight="1" x14ac:dyDescent="0.35">
      <c r="A119" s="266" t="s">
        <v>479</v>
      </c>
      <c r="B119" s="267"/>
      <c r="C119" s="268"/>
      <c r="D119" s="59"/>
      <c r="E119" s="193" t="s">
        <v>336</v>
      </c>
      <c r="F119" s="403" t="str">
        <f>IF(D119="","",IF(D119&lt;5,"Does not meet sizing criteria",""))</f>
        <v/>
      </c>
      <c r="G119" s="403"/>
      <c r="H119" s="401"/>
    </row>
    <row r="120" spans="1:8" ht="12.75" customHeight="1" x14ac:dyDescent="0.35">
      <c r="A120" s="266" t="s">
        <v>480</v>
      </c>
      <c r="B120" s="267"/>
      <c r="C120" s="268"/>
      <c r="D120" s="59"/>
      <c r="E120" s="193" t="s">
        <v>481</v>
      </c>
      <c r="F120" s="403" t="str">
        <f>IF(D120="","",IF(D120&lt;35,"Does not meet sizing criteria",""))</f>
        <v/>
      </c>
      <c r="G120" s="403"/>
      <c r="H120" s="401"/>
    </row>
    <row r="121" spans="1:8" ht="12.75" customHeight="1" x14ac:dyDescent="0.35">
      <c r="A121" s="266" t="s">
        <v>482</v>
      </c>
      <c r="B121" s="267"/>
      <c r="C121" s="268"/>
      <c r="D121" s="59"/>
      <c r="E121" s="193" t="s">
        <v>58</v>
      </c>
      <c r="F121" s="403" t="str">
        <f>IF(D121="","",IF(D121&lt;6,"Does not meet sizing criteria",IF(D121&gt;18,"Does not meet sizing criteria","")))</f>
        <v/>
      </c>
      <c r="G121" s="403"/>
      <c r="H121" s="401"/>
    </row>
    <row r="122" spans="1:8" ht="12.75" customHeight="1" x14ac:dyDescent="0.35">
      <c r="A122" s="266" t="s">
        <v>483</v>
      </c>
      <c r="B122" s="267"/>
      <c r="C122" s="268"/>
      <c r="D122" s="59"/>
      <c r="E122" s="193" t="s">
        <v>336</v>
      </c>
      <c r="F122" s="403" t="str">
        <f>IF(D122="","",IF(D122&lt;5,"Does not meet sizing criteria",""))</f>
        <v/>
      </c>
      <c r="G122" s="403"/>
      <c r="H122" s="401"/>
    </row>
    <row r="123" spans="1:8" ht="12.75" customHeight="1" x14ac:dyDescent="0.35">
      <c r="A123" s="266" t="s">
        <v>484</v>
      </c>
      <c r="B123" s="267"/>
      <c r="C123" s="268"/>
      <c r="D123" s="59"/>
      <c r="E123" s="193" t="s">
        <v>481</v>
      </c>
      <c r="F123" s="403" t="str">
        <f>IF(D123="","",IF(D123&lt;30,"Does not meet sizing criteria",""))</f>
        <v/>
      </c>
      <c r="G123" s="403"/>
      <c r="H123" s="401"/>
    </row>
    <row r="124" spans="1:8" ht="12.75" customHeight="1" x14ac:dyDescent="0.35">
      <c r="A124" s="266" t="s">
        <v>485</v>
      </c>
      <c r="B124" s="267"/>
      <c r="C124" s="268"/>
      <c r="D124" s="59"/>
      <c r="E124" s="193" t="s">
        <v>271</v>
      </c>
      <c r="F124" s="403" t="str">
        <f>IF(D124="","",IF(D124&lt;4,"Does not meet sizing criteria",""))</f>
        <v/>
      </c>
      <c r="G124" s="403"/>
      <c r="H124" s="401"/>
    </row>
    <row r="125" spans="1:8" ht="12.75" customHeight="1" x14ac:dyDescent="0.35">
      <c r="A125" s="266" t="s">
        <v>486</v>
      </c>
      <c r="B125" s="267"/>
      <c r="C125" s="268"/>
      <c r="D125" s="59"/>
      <c r="E125" s="193" t="s">
        <v>336</v>
      </c>
      <c r="F125" s="403" t="str">
        <f>IF(D125="","",IF(D125&lt;3,"Does not meet sizing criteria",""))</f>
        <v/>
      </c>
      <c r="G125" s="403"/>
      <c r="H125" s="401"/>
    </row>
    <row r="126" spans="1:8" ht="12.75" customHeight="1" x14ac:dyDescent="0.35">
      <c r="A126" s="266" t="s">
        <v>487</v>
      </c>
      <c r="B126" s="267"/>
      <c r="C126" s="268"/>
      <c r="D126" s="59"/>
      <c r="E126" s="193" t="s">
        <v>2</v>
      </c>
      <c r="F126" s="403" t="str">
        <f>IF(AND(D126="",D95=""),"",IF(AND(D95="Shallow Wetland",D126=""),"Forebay + Micropool ≥ 25% WQv?",IF(AND(D95="Extended Detention Shallow Wetland",D126=""),"Forebay + Micropool ≥ 25% WQv?",IF(AND(D95="Pond/Wetland System",D126=""),"",IF(AND(D95="Pocket Wetland",D126=""),"Forebay + Micropool ≥ 25% WQv?",IF(AND(D95="Shallow Wetland",(D117+D126)&lt;0.25*F94),"Does not meet sizing criteria",IF(AND(D95="Extended Detention Shallow Wetland",(D117+D126)&lt;0.25*F94),"Does not meet sizing criteria",IF((D126&lt;0.1*F94),"Does not meet sizing criteria",IF(AND(D95="Pocket Wetland",(D117+D126)&lt;0.25*F94),"Does not meet sizing criteria","")))))))))</f>
        <v/>
      </c>
      <c r="G126" s="403"/>
      <c r="H126" s="401"/>
    </row>
    <row r="127" spans="1:8" ht="12.75" customHeight="1" x14ac:dyDescent="0.35">
      <c r="A127" s="266" t="s">
        <v>488</v>
      </c>
      <c r="B127" s="267"/>
      <c r="C127" s="268"/>
      <c r="D127" s="59"/>
      <c r="E127" s="193" t="s">
        <v>271</v>
      </c>
      <c r="F127" s="403" t="str">
        <f>IF(AND(D96="Shallow Wetland",D127=""),"Not applicable",IF(AND(D96="Extended Detention Shallow Wetland",D127=""),"Not applicable",IF(AND(D96="Pond/Wetland System",D127=""),"",IF(AND(D96="Pocket Wetland",D127=""),"Not applicable",IF(AND(D96="Pond/Wetland System",D127&lt;4),"Does not meet sizing criteria","")))))</f>
        <v/>
      </c>
      <c r="G127" s="403"/>
      <c r="H127" s="401"/>
    </row>
    <row r="128" spans="1:8" ht="12.75" customHeight="1" x14ac:dyDescent="0.35">
      <c r="A128" s="266" t="s">
        <v>489</v>
      </c>
      <c r="B128" s="267"/>
      <c r="C128" s="268"/>
      <c r="D128" s="59"/>
      <c r="E128" s="193" t="s">
        <v>336</v>
      </c>
      <c r="F128" s="403" t="str">
        <f>IF(AND(D96="Shallow Wetland",D128=""),"Not applicable",IF(AND(D96="Extended Detention Shallow Wetland",D128=""),"Not applicable",IF(AND(D96="Pond/Wetland System",D128=""),"",IF(AND(D96="Pocket Wetland",D128=""),"Not applicable",IF(AND(D96="Pond/Wetland System",D128&lt;3),"Does not meet sizing criteria","")))))</f>
        <v/>
      </c>
      <c r="G128" s="403"/>
      <c r="H128" s="401"/>
    </row>
    <row r="129" spans="1:8" ht="12.75" customHeight="1" x14ac:dyDescent="0.35">
      <c r="A129" s="266" t="s">
        <v>490</v>
      </c>
      <c r="B129" s="267"/>
      <c r="C129" s="268"/>
      <c r="D129" s="59"/>
      <c r="E129" s="193" t="s">
        <v>2</v>
      </c>
      <c r="F129" s="403" t="str">
        <f>IF(AND(D129="",D95=""),"",IF(AND(D95="Shallow Wetland",D129=""),"Not applicable",IF(AND(D95="Extended Detention Shallow Wetland",D129=""),"Not applicable",IF(AND(D95="Pond/Wetland System",D129=""),"",IF(AND(D95="Pocket Wetland",D129=""),"Not applicable",IF(AND(D95="Pond/Wetland System",D129&lt;0.25*F94),"Does not meet sizing criteria",""))))))</f>
        <v/>
      </c>
      <c r="G129" s="403"/>
      <c r="H129" s="401"/>
    </row>
    <row r="130" spans="1:8" ht="12.75" customHeight="1" x14ac:dyDescent="0.35">
      <c r="A130" s="266" t="s">
        <v>491</v>
      </c>
      <c r="B130" s="267"/>
      <c r="C130" s="268"/>
      <c r="D130" s="59"/>
      <c r="E130" s="193" t="s">
        <v>271</v>
      </c>
      <c r="F130" s="403" t="str">
        <f>IF(AND(D95="Shallow Wetland",D130=""),"Not applicable",IF(AND(D95="Extended Detention Shallow Wetland",D130=""),"If required, 3 ft max",IF(AND(D95="Pond/Wetland System",D130=""),"If required, 3 ft max",IF(AND(D95="Pocket Wetland",D130=""),"Not applicable",IF(AND(D95="Extended Detention Shallow Wetland",D130&gt;3),"Does not meet sizing criteria",IF(AND(D95="Pond/Wetland System",D130&gt;3),"Does not meet sizing criteria",""))))))</f>
        <v/>
      </c>
      <c r="G130" s="403"/>
      <c r="H130" s="401"/>
    </row>
    <row r="131" spans="1:8" ht="13.15" customHeight="1" x14ac:dyDescent="0.35">
      <c r="A131" s="266" t="s">
        <v>492</v>
      </c>
      <c r="B131" s="267"/>
      <c r="C131" s="268"/>
      <c r="D131" s="59"/>
      <c r="E131" s="193" t="s">
        <v>336</v>
      </c>
      <c r="F131" s="403" t="str">
        <f>IF(AND(D95="Shallow Wetland",D131=""),"Not applicable",IF(AND(D95="Extended Detention Shallow Wetland",D131=""),"If required, 3:1 max",IF(AND(D95="Pond/Wetland System",D131=""),"If required, 3:1 max",IF(AND(D95="Pocket Wetland",D131=""),"Not applicable",IF(AND(D95="Extended Detention Shallow Wetland",D131&lt;3),"Does not meet sizing criteria",IF(AND(D95="Pond/Wetland System",D131&lt;3),"Does not meet sizing criteria",""))))))</f>
        <v/>
      </c>
      <c r="G131" s="403"/>
      <c r="H131" s="403"/>
    </row>
    <row r="132" spans="1:8" ht="13.15" customHeight="1" x14ac:dyDescent="0.35">
      <c r="A132" s="266" t="s">
        <v>493</v>
      </c>
      <c r="B132" s="267"/>
      <c r="C132" s="268"/>
      <c r="D132" s="59"/>
      <c r="E132" s="193" t="s">
        <v>2</v>
      </c>
      <c r="F132" s="403" t="str">
        <f>IF(AND(D132="",D95=""),"",IF(AND(D95="Shallow Wetland",D132=""),"Not applicable",IF(AND(D95="Extended Detention Shallow Wetland",D132=""),"If required, 50% WQv max",IF(AND(D95="Pond/Wetland System",D132=""),"If required, 50% WQv max",IF(AND(D95="Pocket Wetland",D132=""),"Not applicable",IF(AND(D95="Extended Detention Shallow Wetland",D132&gt;0.5*F94),"Does not meet sizing criteria",IF(AND(D95="Pond/Wetland System",D132&gt;0.5*F94),"Does not meet sizing criteria","")))))))</f>
        <v/>
      </c>
      <c r="G132" s="403"/>
      <c r="H132" s="403"/>
    </row>
    <row r="133" spans="1:8" ht="13" x14ac:dyDescent="0.35">
      <c r="A133" s="390" t="s">
        <v>468</v>
      </c>
      <c r="B133" s="390"/>
      <c r="C133" s="390"/>
      <c r="D133" s="390"/>
      <c r="E133" s="390"/>
      <c r="F133" s="390"/>
      <c r="G133" s="390"/>
      <c r="H133" s="390"/>
    </row>
    <row r="134" spans="1:8" ht="13" x14ac:dyDescent="0.35">
      <c r="A134" s="398" t="s">
        <v>469</v>
      </c>
      <c r="B134" s="399"/>
      <c r="C134" s="400"/>
      <c r="D134" s="150" t="str">
        <f>IF(F95="","",IF(D99&gt;15,0,IF(AND(D100&gt;0.014,D101="No"),0,IF(AND(D102="Yes",D104&lt;2),0,IF(AND(D103="Yes",D104&lt;2),0,IF(AND(D96="Pocket Wetland",D102="Yes"),0,IF(AND(D96="Pocket Wetland",D103="Yes"),0,IF(AND(D103="Yes",D117&lt;F95),0,IF(D106="Yes",0,IF(D107="Yes",0,IF(D108="No",0,IF(D109="No",0,IF(D110="No",0,IF(D111&lt;1,0,IF(D113&gt;15,0,IF(D114&lt;12,0,IF(D117&lt;0.1*F95,0,IF(D118&gt;6,0,IF(D119&lt;3,0,IF(D120&lt;35,0,IF(D121&lt;6,0,IF(D121&gt;18,0,IF(D122&lt;5,0,IF(D123&lt;30,0,IF(D124&lt;4,0,IF(D125&lt;2,0,IF(D126&lt;0.1*F95,0,IF(AND(D96="Shallow Wetland",(D117+D126)&lt;0.25*F95),0,IF(AND(D96="Extended Detention Shallow Wetland",(D117+D126)&lt;0.25*F95),0,IF(AND(D96="Pocket Wetland",(D117+D126)&lt;0.25*F95),0,IF(AND(D96="Pond/Wetland System",D127&lt;4),0,IF(AND(D96="Pond/Wetland System",D128&lt;3),0,IF(AND(D96="Pond/Wetland System",D129&lt;0.25*F95),0,IF(F130="Does not meet sizing criteria",0,IF(F131="Does not meet sizing criteria",0,IF(F132="Does not meet sizing criteria",0,F95))))))))))))))))))))))))))))))))))))</f>
        <v/>
      </c>
      <c r="E134" s="398" t="s">
        <v>2</v>
      </c>
      <c r="F134" s="399"/>
      <c r="G134" s="399"/>
      <c r="H134" s="400"/>
    </row>
    <row r="139" spans="1:8" ht="13.15" customHeight="1" x14ac:dyDescent="0.35"/>
    <row r="140" spans="1:8" ht="13.15" customHeight="1" x14ac:dyDescent="0.35"/>
    <row r="141" spans="1:8" ht="39" customHeight="1" x14ac:dyDescent="0.35">
      <c r="A141" s="16" t="s">
        <v>56</v>
      </c>
      <c r="B141" s="225" t="str">
        <f>IF('STEP 2-WQv Calculation'!$B$4="","",'STEP 2-WQv Calculation'!$B$4)</f>
        <v/>
      </c>
      <c r="C141" s="199"/>
      <c r="D141" s="199"/>
      <c r="E141" s="199"/>
      <c r="F141" s="199"/>
      <c r="G141" s="199"/>
      <c r="H141" s="199"/>
    </row>
    <row r="142" spans="1:8" ht="27" customHeight="1" x14ac:dyDescent="0.35">
      <c r="A142" s="241" t="s">
        <v>293</v>
      </c>
      <c r="B142" s="241"/>
      <c r="C142" s="241"/>
      <c r="D142" s="241"/>
      <c r="E142" s="241"/>
      <c r="F142" s="241"/>
      <c r="G142" s="241"/>
      <c r="H142" s="236"/>
    </row>
    <row r="143" spans="1:8" ht="12.75" customHeight="1" x14ac:dyDescent="0.35">
      <c r="A143" s="204" t="s">
        <v>60</v>
      </c>
      <c r="B143" s="205" t="s">
        <v>61</v>
      </c>
      <c r="C143" s="205" t="s">
        <v>62</v>
      </c>
      <c r="D143" s="205" t="s">
        <v>63</v>
      </c>
      <c r="E143" s="205" t="s">
        <v>64</v>
      </c>
      <c r="F143" s="205" t="s">
        <v>65</v>
      </c>
      <c r="G143" s="205" t="s">
        <v>244</v>
      </c>
      <c r="H143" s="205" t="s">
        <v>13</v>
      </c>
    </row>
    <row r="144" spans="1:8" ht="13.15" customHeight="1" x14ac:dyDescent="0.35">
      <c r="A144" s="218"/>
      <c r="B144" s="3" t="str">
        <f>IF($A144="","",(LOOKUP($A144,'STEP 2-WQv Calculation'!$A$8:$A$37,'STEP 2-WQv Calculation'!$B$8:$B$37)))</f>
        <v/>
      </c>
      <c r="C144" s="3" t="str">
        <f>IF($A144="","",(LOOKUP($A144,'STEP 2-WQv Calculation'!$A$8:$A$37,'STEP 2-WQv Calculation'!$C$8:$C$37)))</f>
        <v/>
      </c>
      <c r="D144" s="212" t="str">
        <f>IF($A144="","",(LOOKUP($A144,'STEP 2-WQv Calculation'!$A$8:$A$37,'STEP 2-WQv Calculation'!$D$8:$D$37)))</f>
        <v/>
      </c>
      <c r="E144" s="3" t="str">
        <f>IF($A144="","",(LOOKUP($A144,'STEP 2-WQv Calculation'!$A$8:$A$37,'STEP 2-WQv Calculation'!$E$8:$E$37)))</f>
        <v/>
      </c>
      <c r="F144" s="217" t="str">
        <f>IF($A144="","",(LOOKUP($A144,'STEP 2-WQv Calculation'!$A$8:$A$37,'STEP 2-WQv Calculation'!$F$8:$F$37)))</f>
        <v/>
      </c>
      <c r="G144" s="22">
        <f>'STEP 2-WQv Calculation'!B5</f>
        <v>0</v>
      </c>
      <c r="H144" s="195" t="str">
        <f>IF($A144="","",(LOOKUP($A144,'STEP 2-WQv Calculation'!$A$8:$A$37,'STEP 2-WQv Calculation'!$G$8:$G$37)))</f>
        <v/>
      </c>
    </row>
    <row r="145" spans="1:8" ht="12.75" customHeight="1" x14ac:dyDescent="0.35">
      <c r="A145" s="322" t="s">
        <v>470</v>
      </c>
      <c r="B145" s="323"/>
      <c r="C145" s="324"/>
      <c r="D145" s="364"/>
      <c r="E145" s="365"/>
      <c r="F145" s="365"/>
      <c r="G145" s="365"/>
      <c r="H145" s="365"/>
    </row>
    <row r="146" spans="1:8" ht="12.75" customHeight="1" x14ac:dyDescent="0.3">
      <c r="A146" s="273" t="s">
        <v>226</v>
      </c>
      <c r="B146" s="273"/>
      <c r="C146" s="273"/>
      <c r="D146" s="273"/>
      <c r="E146" s="273"/>
      <c r="F146" s="273"/>
      <c r="G146" s="273"/>
      <c r="H146" s="248"/>
    </row>
    <row r="147" spans="1:8" ht="26.25" customHeight="1" x14ac:dyDescent="0.35">
      <c r="A147" s="242" t="s">
        <v>471</v>
      </c>
      <c r="B147" s="243"/>
      <c r="C147" s="244"/>
      <c r="D147" s="211"/>
      <c r="E147" s="401" t="str">
        <f>IF(D147="YES", "A permit is required","")</f>
        <v/>
      </c>
      <c r="F147" s="402"/>
      <c r="G147" s="402"/>
      <c r="H147" s="402"/>
    </row>
    <row r="148" spans="1:8" ht="12.75" customHeight="1" x14ac:dyDescent="0.35">
      <c r="A148" s="242" t="s">
        <v>472</v>
      </c>
      <c r="B148" s="243"/>
      <c r="C148" s="244"/>
      <c r="D148" s="43"/>
      <c r="E148" s="401" t="str">
        <f>IF(D148&gt;15,"Does not meet feasibility criteria","")</f>
        <v/>
      </c>
      <c r="F148" s="402"/>
      <c r="G148" s="402"/>
      <c r="H148" s="402"/>
    </row>
    <row r="149" spans="1:8" ht="12.75" customHeight="1" x14ac:dyDescent="0.35">
      <c r="A149" s="242" t="s">
        <v>442</v>
      </c>
      <c r="B149" s="243"/>
      <c r="C149" s="244"/>
      <c r="D149" s="43"/>
      <c r="E149" s="401" t="str">
        <f>IF(D149="","If an impermeable liner is provided, enter 0 in/hr",IF(D149&gt;0.014,"Does not meet feasibility criteria, provide an impermeable liner",""))</f>
        <v>If an impermeable liner is provided, enter 0 in/hr</v>
      </c>
      <c r="F149" s="402"/>
      <c r="G149" s="402"/>
      <c r="H149" s="402"/>
    </row>
    <row r="150" spans="1:8" ht="12.75" customHeight="1" x14ac:dyDescent="0.35">
      <c r="A150" s="242" t="s">
        <v>443</v>
      </c>
      <c r="B150" s="243"/>
      <c r="C150" s="244"/>
      <c r="D150" s="211"/>
      <c r="E150" s="401" t="str">
        <f>IF(AND(D149&gt;0.014,D150="No"),"Does not meet feasibility criteria","")</f>
        <v/>
      </c>
      <c r="F150" s="402"/>
      <c r="G150" s="402"/>
      <c r="H150" s="402"/>
    </row>
    <row r="151" spans="1:8" ht="12.75" customHeight="1" x14ac:dyDescent="0.35">
      <c r="A151" s="242" t="s">
        <v>473</v>
      </c>
      <c r="B151" s="243"/>
      <c r="C151" s="244"/>
      <c r="D151" s="211"/>
      <c r="E151" s="401" t="str">
        <f>IF(D151="","",IF(AND(D145="Pocket Wetland",D151="Yes"),"Does not meet feasibility criteria",""))</f>
        <v/>
      </c>
      <c r="F151" s="402"/>
      <c r="G151" s="402"/>
      <c r="H151" s="402"/>
    </row>
    <row r="152" spans="1:8" ht="12.75" customHeight="1" x14ac:dyDescent="0.35">
      <c r="A152" s="242" t="s">
        <v>474</v>
      </c>
      <c r="B152" s="243"/>
      <c r="C152" s="244"/>
      <c r="D152" s="211"/>
      <c r="E152" s="401" t="str">
        <f>IF(D152="","",IF(AND(D145="Shallow Wetland",D152="Yes"),"Provide 100% pretreatment",IF(AND(D145="Extended Detention Shallow Wetland",D152="Yes"),"Provide 100% pretreatment",IF(AND(D145="Pond/Wetland System",D152="Yes"),"Provide 100% pretreatment",IF(AND(D145="Pocket Wetland",D152="Yes"),"Does not meet feasibility criteria","")))))</f>
        <v/>
      </c>
      <c r="F152" s="402"/>
      <c r="G152" s="402"/>
      <c r="H152" s="402"/>
    </row>
    <row r="153" spans="1:8" ht="12.75" customHeight="1" x14ac:dyDescent="0.35">
      <c r="A153" s="242" t="s">
        <v>296</v>
      </c>
      <c r="B153" s="243"/>
      <c r="C153" s="244"/>
      <c r="D153" s="43"/>
      <c r="E153" s="401" t="str">
        <f>IF(D153="","",IF(AND(D151="Yes",D153&lt;2),"Does not meet feasibility criteria",IF(AND(D152="Yes",D153&lt;2),"Does not meet feasibility criteria","")))</f>
        <v/>
      </c>
      <c r="F153" s="402"/>
      <c r="G153" s="402"/>
      <c r="H153" s="402"/>
    </row>
    <row r="154" spans="1:8" ht="27" customHeight="1" x14ac:dyDescent="0.35">
      <c r="A154" s="242" t="s">
        <v>711</v>
      </c>
      <c r="B154" s="406"/>
      <c r="C154" s="407"/>
      <c r="D154" s="218"/>
      <c r="E154" s="218"/>
      <c r="F154" s="218"/>
      <c r="G154" s="198" t="s">
        <v>716</v>
      </c>
      <c r="H154" s="195">
        <f>IF($D154="",0,(LOOKUP($D154,'STEP 2-WQv Calculation'!$A$8:$A$37,'STEP 2-WQv Calculation'!$B$8:$B$37)))+IF($E154="",0,(LOOKUP($E154,'STEP 2-WQv Calculation'!$A$8:$A$37,'STEP 2-WQv Calculation'!$B$8:$B$37)))+IF($F154="",0,(LOOKUP($F154,'STEP 2-WQv Calculation'!$A$8:$A$37,'STEP 2-WQv Calculation'!$B$8:$B$37)))</f>
        <v>0</v>
      </c>
    </row>
    <row r="155" spans="1:8" ht="12.75" customHeight="1" x14ac:dyDescent="0.35">
      <c r="A155" s="242" t="s">
        <v>475</v>
      </c>
      <c r="B155" s="243"/>
      <c r="C155" s="244"/>
      <c r="D155" s="227" t="str">
        <f>IF(B144="","",IF(AND(D145="Shallow Wetland",(B144+H154)&lt;25),"Yes",IF(AND(D145="Extended Detention Shallow Wetland",(B144+H154)&lt;25),"Yes",IF(AND(D145="Pond/Wetland System",(B144+H154)&lt;25),"Yes",IF(AND(D145="Pocket Wetland",(B144+H154)&lt;5),"Yes","No")))))</f>
        <v/>
      </c>
      <c r="E155" s="401" t="str">
        <f>IF(D155="Yes","Does not meet feasibility criteria","")</f>
        <v/>
      </c>
      <c r="F155" s="402"/>
      <c r="G155" s="402"/>
      <c r="H155" s="402"/>
    </row>
    <row r="156" spans="1:8" ht="12.75" customHeight="1" x14ac:dyDescent="0.35">
      <c r="A156" s="242" t="s">
        <v>715</v>
      </c>
      <c r="B156" s="243"/>
      <c r="C156" s="244"/>
      <c r="D156" s="211"/>
      <c r="E156" s="401" t="str">
        <f>IF(D156="Yes","Does not meet feasibility criteria","")</f>
        <v/>
      </c>
      <c r="F156" s="402"/>
      <c r="G156" s="402"/>
      <c r="H156" s="402"/>
    </row>
    <row r="157" spans="1:8" ht="12.75" customHeight="1" x14ac:dyDescent="0.35">
      <c r="A157" s="242" t="s">
        <v>450</v>
      </c>
      <c r="B157" s="243"/>
      <c r="C157" s="244"/>
      <c r="D157" s="211"/>
      <c r="E157" s="401" t="str">
        <f>IF(D157="No","Does not meet conveyance criteria","")</f>
        <v/>
      </c>
      <c r="F157" s="402"/>
      <c r="G157" s="402"/>
      <c r="H157" s="402"/>
    </row>
    <row r="158" spans="1:8" ht="12.75" customHeight="1" x14ac:dyDescent="0.35">
      <c r="A158" s="242" t="s">
        <v>451</v>
      </c>
      <c r="B158" s="243"/>
      <c r="C158" s="244"/>
      <c r="D158" s="211"/>
      <c r="E158" s="401" t="str">
        <f>IF(D158="No","Does not meet conveyance criteria","")</f>
        <v/>
      </c>
      <c r="F158" s="402"/>
      <c r="G158" s="402"/>
      <c r="H158" s="402"/>
    </row>
    <row r="159" spans="1:8" ht="12.75" customHeight="1" x14ac:dyDescent="0.35">
      <c r="A159" s="242" t="s">
        <v>476</v>
      </c>
      <c r="B159" s="243"/>
      <c r="C159" s="244"/>
      <c r="D159" s="211"/>
      <c r="E159" s="401" t="str">
        <f>IF(D159="No","Does not meet pretreatment criteria","")</f>
        <v/>
      </c>
      <c r="F159" s="402"/>
      <c r="G159" s="402"/>
      <c r="H159" s="402"/>
    </row>
    <row r="160" spans="1:8" ht="12.75" customHeight="1" x14ac:dyDescent="0.35">
      <c r="A160" s="242" t="s">
        <v>453</v>
      </c>
      <c r="B160" s="243"/>
      <c r="C160" s="244"/>
      <c r="D160" s="43"/>
      <c r="E160" s="401" t="str">
        <f>IF(D160="","",IF(D160&lt;1,"Does not meet design criteria",""))</f>
        <v/>
      </c>
      <c r="F160" s="402"/>
      <c r="G160" s="402"/>
      <c r="H160" s="402"/>
    </row>
    <row r="161" spans="1:8" ht="13.15" customHeight="1" x14ac:dyDescent="0.35">
      <c r="A161" s="242" t="s">
        <v>454</v>
      </c>
      <c r="B161" s="243"/>
      <c r="C161" s="244"/>
      <c r="D161" s="43"/>
      <c r="E161" s="401" t="str">
        <f>IF(D161="","",IF(D161&lt;=3,"Safety bench required",""))</f>
        <v/>
      </c>
      <c r="F161" s="402"/>
      <c r="G161" s="402"/>
      <c r="H161" s="402"/>
    </row>
    <row r="162" spans="1:8" x14ac:dyDescent="0.35">
      <c r="A162" s="242" t="s">
        <v>460</v>
      </c>
      <c r="B162" s="243"/>
      <c r="C162" s="244"/>
      <c r="D162" s="43"/>
      <c r="E162" s="401" t="str">
        <f>IF(D162&gt;15,"Does not meet design criteria","")</f>
        <v/>
      </c>
      <c r="F162" s="402"/>
      <c r="G162" s="402"/>
      <c r="H162" s="402"/>
    </row>
    <row r="163" spans="1:8" ht="12.75" customHeight="1" x14ac:dyDescent="0.35">
      <c r="A163" s="242" t="s">
        <v>461</v>
      </c>
      <c r="B163" s="243"/>
      <c r="C163" s="244"/>
      <c r="D163" s="43"/>
      <c r="E163" s="401" t="str">
        <f>IF(D163="","",IF(D163&lt;12,"Does not meet design criteria",""))</f>
        <v/>
      </c>
      <c r="F163" s="402"/>
      <c r="G163" s="402"/>
      <c r="H163" s="402"/>
    </row>
    <row r="164" spans="1:8" ht="12.75" customHeight="1" x14ac:dyDescent="0.35">
      <c r="A164" s="241" t="s">
        <v>232</v>
      </c>
      <c r="B164" s="241"/>
      <c r="C164" s="241"/>
      <c r="D164" s="241"/>
      <c r="E164" s="241"/>
      <c r="F164" s="241"/>
      <c r="G164" s="241"/>
      <c r="H164" s="236"/>
    </row>
    <row r="165" spans="1:8" ht="12.75" customHeight="1" x14ac:dyDescent="0.35">
      <c r="A165" s="378"/>
      <c r="B165" s="379"/>
      <c r="C165" s="380"/>
      <c r="D165" s="222" t="s">
        <v>256</v>
      </c>
      <c r="E165" s="208" t="s">
        <v>257</v>
      </c>
      <c r="F165" s="375" t="s">
        <v>258</v>
      </c>
      <c r="G165" s="376"/>
      <c r="H165" s="376"/>
    </row>
    <row r="166" spans="1:8" ht="12.75" customHeight="1" x14ac:dyDescent="0.35">
      <c r="A166" s="266" t="s">
        <v>477</v>
      </c>
      <c r="B166" s="267"/>
      <c r="C166" s="268"/>
      <c r="D166" s="59"/>
      <c r="E166" s="193" t="s">
        <v>2</v>
      </c>
      <c r="F166" s="403" t="str">
        <f>IF(AND(D166="",D144=""),"",IF(AND(D151="Yes",D166&lt;F143),"Does not meet design criteria",IF(AND(D144="Shallow Wetland",D166=""),"Forebay + Micropool ≥ 25% WQv?",IF(AND(D144="Extended Detention Shallow Wetland",D166=""),"Forebay + Micropool ≥ 25% WQv?",IF(AND(D144="Pond/Wetland System",D166=""),"",IF(AND(D144="Pocket Wetland",D166=""),"Forebay + Micropool ≥ 25% WQv?",IF(D166&lt;0.1*F143,"Does not meet sizing criteria",IF(AND(D150="Yes",D151="Yes",D166&lt;F143),"Does not meet sizing criteria",""))))))))</f>
        <v/>
      </c>
      <c r="G166" s="403"/>
      <c r="H166" s="401"/>
    </row>
    <row r="167" spans="1:8" ht="12.75" customHeight="1" x14ac:dyDescent="0.35">
      <c r="A167" s="266" t="s">
        <v>478</v>
      </c>
      <c r="B167" s="267"/>
      <c r="C167" s="268"/>
      <c r="D167" s="59"/>
      <c r="E167" s="193" t="s">
        <v>58</v>
      </c>
      <c r="F167" s="403" t="str">
        <f>IF(D167="","",IF(D167&gt;6,"Does not meet siizng criteria",""))</f>
        <v/>
      </c>
      <c r="G167" s="403"/>
      <c r="H167" s="401"/>
    </row>
    <row r="168" spans="1:8" ht="12.75" customHeight="1" x14ac:dyDescent="0.35">
      <c r="A168" s="266" t="s">
        <v>479</v>
      </c>
      <c r="B168" s="267"/>
      <c r="C168" s="268"/>
      <c r="D168" s="59"/>
      <c r="E168" s="193" t="s">
        <v>336</v>
      </c>
      <c r="F168" s="403" t="str">
        <f>IF(D168="","",IF(D168&lt;5,"Does not meet sizing criteria",""))</f>
        <v/>
      </c>
      <c r="G168" s="403"/>
      <c r="H168" s="401"/>
    </row>
    <row r="169" spans="1:8" ht="12.75" customHeight="1" x14ac:dyDescent="0.35">
      <c r="A169" s="266" t="s">
        <v>480</v>
      </c>
      <c r="B169" s="267"/>
      <c r="C169" s="268"/>
      <c r="D169" s="59"/>
      <c r="E169" s="193" t="s">
        <v>481</v>
      </c>
      <c r="F169" s="403" t="str">
        <f>IF(D169="","",IF(D169&lt;35,"Does not meet sizing criteria",""))</f>
        <v/>
      </c>
      <c r="G169" s="403"/>
      <c r="H169" s="401"/>
    </row>
    <row r="170" spans="1:8" ht="12.75" customHeight="1" x14ac:dyDescent="0.35">
      <c r="A170" s="266" t="s">
        <v>482</v>
      </c>
      <c r="B170" s="267"/>
      <c r="C170" s="268"/>
      <c r="D170" s="59"/>
      <c r="E170" s="193" t="s">
        <v>58</v>
      </c>
      <c r="F170" s="403" t="str">
        <f>IF(D170="","",IF(D170&lt;6,"Does not meet sizing criteria",IF(D170&gt;18,"Does not meet sizing criteria","")))</f>
        <v/>
      </c>
      <c r="G170" s="403"/>
      <c r="H170" s="401"/>
    </row>
    <row r="171" spans="1:8" ht="12.75" customHeight="1" x14ac:dyDescent="0.35">
      <c r="A171" s="266" t="s">
        <v>483</v>
      </c>
      <c r="B171" s="267"/>
      <c r="C171" s="268"/>
      <c r="D171" s="59"/>
      <c r="E171" s="193" t="s">
        <v>336</v>
      </c>
      <c r="F171" s="403" t="str">
        <f>IF(D171="","",IF(D171&lt;5,"Does not meet sizing criteria",""))</f>
        <v/>
      </c>
      <c r="G171" s="403"/>
      <c r="H171" s="401"/>
    </row>
    <row r="172" spans="1:8" ht="12.75" customHeight="1" x14ac:dyDescent="0.35">
      <c r="A172" s="266" t="s">
        <v>484</v>
      </c>
      <c r="B172" s="267"/>
      <c r="C172" s="268"/>
      <c r="D172" s="59"/>
      <c r="E172" s="193" t="s">
        <v>481</v>
      </c>
      <c r="F172" s="403" t="str">
        <f>IF(D172="","",IF(D172&lt;30,"Does not meet sizing criteria",""))</f>
        <v/>
      </c>
      <c r="G172" s="403"/>
      <c r="H172" s="401"/>
    </row>
    <row r="173" spans="1:8" ht="12.75" customHeight="1" x14ac:dyDescent="0.35">
      <c r="A173" s="266" t="s">
        <v>485</v>
      </c>
      <c r="B173" s="267"/>
      <c r="C173" s="268"/>
      <c r="D173" s="59"/>
      <c r="E173" s="193" t="s">
        <v>271</v>
      </c>
      <c r="F173" s="403" t="str">
        <f>IF(D173="","",IF(D173&lt;4,"Does not meet sizing criteria",""))</f>
        <v/>
      </c>
      <c r="G173" s="403"/>
      <c r="H173" s="401"/>
    </row>
    <row r="174" spans="1:8" ht="12.75" customHeight="1" x14ac:dyDescent="0.35">
      <c r="A174" s="266" t="s">
        <v>486</v>
      </c>
      <c r="B174" s="267"/>
      <c r="C174" s="268"/>
      <c r="D174" s="59"/>
      <c r="E174" s="193" t="s">
        <v>336</v>
      </c>
      <c r="F174" s="403" t="str">
        <f>IF(D174="","",IF(D174&lt;3,"Does not meet sizing criteria",""))</f>
        <v/>
      </c>
      <c r="G174" s="403"/>
      <c r="H174" s="401"/>
    </row>
    <row r="175" spans="1:8" ht="12.75" customHeight="1" x14ac:dyDescent="0.35">
      <c r="A175" s="266" t="s">
        <v>487</v>
      </c>
      <c r="B175" s="267"/>
      <c r="C175" s="268"/>
      <c r="D175" s="59"/>
      <c r="E175" s="193" t="s">
        <v>2</v>
      </c>
      <c r="F175" s="403" t="str">
        <f>IF(AND(D175="",D144=""),"",IF(AND(D144="Shallow Wetland",D175=""),"Forebay + Micropool ≥ 25% WQv?",IF(AND(D144="Extended Detention Shallow Wetland",D175=""),"Forebay + Micropool ≥ 25% WQv?",IF(AND(D144="Pond/Wetland System",D175=""),"",IF(AND(D144="Pocket Wetland",D175=""),"Forebay + Micropool ≥ 25% WQv?",IF(AND(D144="Shallow Wetland",(D166+D175)&lt;0.25*F143),"Does not meet sizing criteria",IF(AND(D144="Extended Detention Shallow Wetland",(D166+D175)&lt;0.25*F143),"Does not meet sizing criteria",IF((D175&lt;0.1*F143),"Does not meet sizing criteria",IF(AND(D144="Pocket Wetland",(D166+D175)&lt;0.25*F143),"Does not meet sizing criteria","")))))))))</f>
        <v/>
      </c>
      <c r="G175" s="403"/>
      <c r="H175" s="401"/>
    </row>
    <row r="176" spans="1:8" ht="12.75" customHeight="1" x14ac:dyDescent="0.35">
      <c r="A176" s="266" t="s">
        <v>488</v>
      </c>
      <c r="B176" s="267"/>
      <c r="C176" s="268"/>
      <c r="D176" s="59"/>
      <c r="E176" s="193" t="s">
        <v>271</v>
      </c>
      <c r="F176" s="403" t="str">
        <f>IF(AND(D145="Shallow Wetland",D176=""),"Not applicable",IF(AND(D145="Extended Detention Shallow Wetland",D176=""),"Not applicable",IF(AND(D145="Pond/Wetland System",D176=""),"",IF(AND(D145="Pocket Wetland",D176=""),"Not applicable",IF(AND(D145="Pond/Wetland System",D176&lt;4),"Does not meet sizing criteria","")))))</f>
        <v/>
      </c>
      <c r="G176" s="403"/>
      <c r="H176" s="401"/>
    </row>
    <row r="177" spans="1:8" ht="12.75" customHeight="1" x14ac:dyDescent="0.35">
      <c r="A177" s="266" t="s">
        <v>489</v>
      </c>
      <c r="B177" s="267"/>
      <c r="C177" s="268"/>
      <c r="D177" s="59"/>
      <c r="E177" s="193" t="s">
        <v>336</v>
      </c>
      <c r="F177" s="403" t="str">
        <f>IF(AND(D145="Shallow Wetland",D177=""),"Not applicable",IF(AND(D145="Extended Detention Shallow Wetland",D177=""),"Not applicable",IF(AND(D145="Pond/Wetland System",D177=""),"",IF(AND(D145="Pocket Wetland",D177=""),"Not applicable",IF(AND(D145="Pond/Wetland System",D177&lt;3),"Does not meet sizing criteria","")))))</f>
        <v/>
      </c>
      <c r="G177" s="403"/>
      <c r="H177" s="401"/>
    </row>
    <row r="178" spans="1:8" ht="12.75" customHeight="1" x14ac:dyDescent="0.35">
      <c r="A178" s="266" t="s">
        <v>490</v>
      </c>
      <c r="B178" s="267"/>
      <c r="C178" s="268"/>
      <c r="D178" s="59"/>
      <c r="E178" s="193" t="s">
        <v>2</v>
      </c>
      <c r="F178" s="403" t="str">
        <f>IF(AND(D178="",D144=""),"",IF(AND(D144="Shallow Wetland",D178=""),"Not applicable",IF(AND(D144="Extended Detention Shallow Wetland",D178=""),"Not applicable",IF(AND(D144="Pond/Wetland System",D178=""),"",IF(AND(D144="Pocket Wetland",D178=""),"Not applicable",IF(AND(D144="Pond/Wetland System",D178&lt;0.25*F143),"Does not meet sizing criteria",""))))))</f>
        <v/>
      </c>
      <c r="G178" s="403"/>
      <c r="H178" s="401"/>
    </row>
    <row r="179" spans="1:8" ht="13.15" customHeight="1" x14ac:dyDescent="0.35">
      <c r="A179" s="266" t="s">
        <v>491</v>
      </c>
      <c r="B179" s="267"/>
      <c r="C179" s="268"/>
      <c r="D179" s="59"/>
      <c r="E179" s="193" t="s">
        <v>271</v>
      </c>
      <c r="F179" s="403" t="str">
        <f>IF(AND(D144="Shallow Wetland",D179=""),"Not applicable",IF(AND(D144="Extended Detention Shallow Wetland",D179=""),"If required, 3 ft max",IF(AND(D144="Pond/Wetland System",D179=""),"If required, 3 ft max",IF(AND(D144="Pocket Wetland",D179=""),"Not applicable",IF(AND(D144="Extended Detention Shallow Wetland",D179&gt;3),"Does not meet sizing criteria",IF(AND(D144="Pond/Wetland System",D179&gt;3),"Does not meet sizing criteria",""))))))</f>
        <v/>
      </c>
      <c r="G179" s="403"/>
      <c r="H179" s="401"/>
    </row>
    <row r="180" spans="1:8" ht="13.15" customHeight="1" x14ac:dyDescent="0.35">
      <c r="A180" s="266" t="s">
        <v>492</v>
      </c>
      <c r="B180" s="267"/>
      <c r="C180" s="268"/>
      <c r="D180" s="59"/>
      <c r="E180" s="193" t="s">
        <v>336</v>
      </c>
      <c r="F180" s="403" t="str">
        <f>IF(AND(D144="Shallow Wetland",D180=""),"Not applicable",IF(AND(D144="Extended Detention Shallow Wetland",D180=""),"If required, 3:1 max",IF(AND(D144="Pond/Wetland System",D180=""),"If required, 3:1 max",IF(AND(D144="Pocket Wetland",D180=""),"Not applicable",IF(AND(D144="Extended Detention Shallow Wetland",D180&lt;3),"Does not meet sizing criteria",IF(AND(D144="Pond/Wetland System",D180&lt;3),"Does not meet sizing criteria",""))))))</f>
        <v/>
      </c>
      <c r="G180" s="403"/>
      <c r="H180" s="403"/>
    </row>
    <row r="181" spans="1:8" x14ac:dyDescent="0.35">
      <c r="A181" s="266" t="s">
        <v>493</v>
      </c>
      <c r="B181" s="267"/>
      <c r="C181" s="268"/>
      <c r="D181" s="59"/>
      <c r="E181" s="193" t="s">
        <v>2</v>
      </c>
      <c r="F181" s="403" t="str">
        <f>IF(AND(D181="",D144=""),"",IF(AND(D144="Shallow Wetland",D181=""),"Not applicable",IF(AND(D144="Extended Detention Shallow Wetland",D181=""),"If required, 50% WQv max",IF(AND(D144="Pond/Wetland System",D181=""),"If required, 50% WQv max",IF(AND(D144="Pocket Wetland",D181=""),"Not applicable",IF(AND(D144="Extended Detention Shallow Wetland",D181&gt;0.5*F143),"Does not meet sizing criteria",IF(AND(D144="Pond/Wetland System",D181&gt;0.5*F143),"Does not meet sizing criteria","")))))))</f>
        <v/>
      </c>
      <c r="G181" s="403"/>
      <c r="H181" s="403"/>
    </row>
    <row r="182" spans="1:8" ht="13" x14ac:dyDescent="0.35">
      <c r="A182" s="390" t="s">
        <v>468</v>
      </c>
      <c r="B182" s="390"/>
      <c r="C182" s="390"/>
      <c r="D182" s="390"/>
      <c r="E182" s="390"/>
      <c r="F182" s="390"/>
      <c r="G182" s="390"/>
      <c r="H182" s="390"/>
    </row>
    <row r="183" spans="1:8" ht="13" x14ac:dyDescent="0.35">
      <c r="A183" s="398" t="s">
        <v>469</v>
      </c>
      <c r="B183" s="399"/>
      <c r="C183" s="400"/>
      <c r="D183" s="150" t="str">
        <f>IF(F144="","",IF(D148&gt;15,0,IF(AND(D149&gt;0.014,D150="No"),0,IF(AND(D151="Yes",D153&lt;2),0,IF(AND(D152="Yes",D153&lt;2),0,IF(AND(D145="Pocket Wetland",D151="Yes"),0,IF(AND(D145="Pocket Wetland",D152="Yes"),0,IF(AND(D152="Yes",D166&lt;F144),0,IF(D155="Yes",0,IF(D156="Yes",0,IF(D157="No",0,IF(D158="No",0,IF(D159="No",0,IF(D160&lt;1,0,IF(D162&gt;15,0,IF(D163&lt;12,0,IF(D166&lt;0.1*F144,0,IF(D167&gt;6,0,IF(D168&lt;3,0,IF(D169&lt;35,0,IF(D170&lt;6,0,IF(D170&gt;18,0,IF(D171&lt;5,0,IF(D172&lt;30,0,IF(D173&lt;4,0,IF(D174&lt;2,0,IF(D175&lt;0.1*F144,0,IF(AND(D145="Shallow Wetland",(D166+D175)&lt;0.25*F144),0,IF(AND(D145="Extended Detention Shallow Wetland",(D166+D175)&lt;0.25*F144),0,IF(AND(D145="Pocket Wetland",(D166+D175)&lt;0.25*F144),0,IF(AND(D145="Pond/Wetland System",D176&lt;4),0,IF(AND(D145="Pond/Wetland System",D177&lt;3),0,IF(AND(D145="Pond/Wetland System",D178&lt;0.25*F144),0,IF(F179="Does not meet sizing criteria",0,IF(F180="Does not meet sizing criteria",0,IF(F181="Does not meet sizing criteria",0,F144))))))))))))))))))))))))))))))))))))</f>
        <v/>
      </c>
      <c r="E183" s="398" t="s">
        <v>2</v>
      </c>
      <c r="F183" s="399"/>
      <c r="G183" s="399"/>
      <c r="H183" s="400"/>
    </row>
    <row r="187" spans="1:8" ht="13.15" customHeight="1" x14ac:dyDescent="0.35"/>
    <row r="188" spans="1:8" ht="13.15" customHeight="1" x14ac:dyDescent="0.35"/>
    <row r="189" spans="1:8" ht="39" customHeight="1" x14ac:dyDescent="0.35"/>
    <row r="190" spans="1:8" ht="27" customHeight="1" x14ac:dyDescent="0.35">
      <c r="A190" s="16" t="s">
        <v>56</v>
      </c>
      <c r="B190" s="225" t="str">
        <f>IF('STEP 2-WQv Calculation'!$B$4="","",'STEP 2-WQv Calculation'!$B$4)</f>
        <v/>
      </c>
      <c r="C190" s="199"/>
      <c r="D190" s="199"/>
      <c r="E190" s="199"/>
      <c r="F190" s="199"/>
      <c r="G190" s="199"/>
      <c r="H190" s="199"/>
    </row>
    <row r="191" spans="1:8" ht="12.75" customHeight="1" x14ac:dyDescent="0.35">
      <c r="A191" s="241" t="s">
        <v>293</v>
      </c>
      <c r="B191" s="241"/>
      <c r="C191" s="241"/>
      <c r="D191" s="241"/>
      <c r="E191" s="241"/>
      <c r="F191" s="241"/>
      <c r="G191" s="241"/>
      <c r="H191" s="236"/>
    </row>
    <row r="192" spans="1:8" ht="13.15" customHeight="1" x14ac:dyDescent="0.35">
      <c r="A192" s="204" t="s">
        <v>60</v>
      </c>
      <c r="B192" s="205" t="s">
        <v>61</v>
      </c>
      <c r="C192" s="205" t="s">
        <v>62</v>
      </c>
      <c r="D192" s="205" t="s">
        <v>63</v>
      </c>
      <c r="E192" s="205" t="s">
        <v>64</v>
      </c>
      <c r="F192" s="205" t="s">
        <v>65</v>
      </c>
      <c r="G192" s="205" t="s">
        <v>244</v>
      </c>
      <c r="H192" s="205" t="s">
        <v>13</v>
      </c>
    </row>
    <row r="193" spans="1:8" ht="12.75" customHeight="1" x14ac:dyDescent="0.35">
      <c r="A193" s="218"/>
      <c r="B193" s="3" t="str">
        <f>IF($A193="","",(LOOKUP($A193,'STEP 2-WQv Calculation'!$A$8:$A$37,'STEP 2-WQv Calculation'!$B$8:$B$37)))</f>
        <v/>
      </c>
      <c r="C193" s="3" t="str">
        <f>IF($A193="","",(LOOKUP($A193,'STEP 2-WQv Calculation'!$A$8:$A$37,'STEP 2-WQv Calculation'!$C$8:$C$37)))</f>
        <v/>
      </c>
      <c r="D193" s="212" t="str">
        <f>IF($A193="","",(LOOKUP($A193,'STEP 2-WQv Calculation'!$A$8:$A$37,'STEP 2-WQv Calculation'!$D$8:$D$37)))</f>
        <v/>
      </c>
      <c r="E193" s="3" t="str">
        <f>IF($A193="","",(LOOKUP($A193,'STEP 2-WQv Calculation'!$A$8:$A$37,'STEP 2-WQv Calculation'!$E$8:$E$37)))</f>
        <v/>
      </c>
      <c r="F193" s="217" t="str">
        <f>IF($A193="","",(LOOKUP($A193,'STEP 2-WQv Calculation'!$A$8:$A$37,'STEP 2-WQv Calculation'!$F$8:$F$37)))</f>
        <v/>
      </c>
      <c r="G193" s="22">
        <f>'STEP 2-WQv Calculation'!B5</f>
        <v>0</v>
      </c>
      <c r="H193" s="195" t="str">
        <f>IF($A193="","",(LOOKUP($A193,'STEP 2-WQv Calculation'!$A$8:$A$37,'STEP 2-WQv Calculation'!$G$8:$G$37)))</f>
        <v/>
      </c>
    </row>
    <row r="194" spans="1:8" ht="12.75" customHeight="1" x14ac:dyDescent="0.35">
      <c r="A194" s="322" t="s">
        <v>470</v>
      </c>
      <c r="B194" s="323"/>
      <c r="C194" s="324"/>
      <c r="D194" s="364"/>
      <c r="E194" s="365"/>
      <c r="F194" s="365"/>
      <c r="G194" s="365"/>
      <c r="H194" s="365"/>
    </row>
    <row r="195" spans="1:8" ht="26.25" customHeight="1" x14ac:dyDescent="0.3">
      <c r="A195" s="273" t="s">
        <v>226</v>
      </c>
      <c r="B195" s="273"/>
      <c r="C195" s="273"/>
      <c r="D195" s="273"/>
      <c r="E195" s="273"/>
      <c r="F195" s="273"/>
      <c r="G195" s="273"/>
      <c r="H195" s="248"/>
    </row>
    <row r="196" spans="1:8" ht="12.75" customHeight="1" x14ac:dyDescent="0.35">
      <c r="A196" s="242" t="s">
        <v>471</v>
      </c>
      <c r="B196" s="243"/>
      <c r="C196" s="244"/>
      <c r="D196" s="211"/>
      <c r="E196" s="401" t="str">
        <f>IF(D196="YES", "A permit is required","")</f>
        <v/>
      </c>
      <c r="F196" s="402"/>
      <c r="G196" s="402"/>
      <c r="H196" s="402"/>
    </row>
    <row r="197" spans="1:8" ht="12.75" customHeight="1" x14ac:dyDescent="0.35">
      <c r="A197" s="242" t="s">
        <v>472</v>
      </c>
      <c r="B197" s="243"/>
      <c r="C197" s="244"/>
      <c r="D197" s="43"/>
      <c r="E197" s="401" t="str">
        <f>IF(D197&gt;15,"Does not meet feasibility criteria","")</f>
        <v/>
      </c>
      <c r="F197" s="402"/>
      <c r="G197" s="402"/>
      <c r="H197" s="402"/>
    </row>
    <row r="198" spans="1:8" ht="12.75" customHeight="1" x14ac:dyDescent="0.35">
      <c r="A198" s="242" t="s">
        <v>442</v>
      </c>
      <c r="B198" s="243"/>
      <c r="C198" s="244"/>
      <c r="D198" s="43"/>
      <c r="E198" s="401" t="str">
        <f>IF(D198="","If an impermeable liner is provided, enter 0 in/hr",IF(D198&gt;0.014,"Does not meet feasibility criteria, provide an impermeable liner",""))</f>
        <v>If an impermeable liner is provided, enter 0 in/hr</v>
      </c>
      <c r="F198" s="402"/>
      <c r="G198" s="402"/>
      <c r="H198" s="402"/>
    </row>
    <row r="199" spans="1:8" ht="12.75" customHeight="1" x14ac:dyDescent="0.35">
      <c r="A199" s="242" t="s">
        <v>443</v>
      </c>
      <c r="B199" s="243"/>
      <c r="C199" s="244"/>
      <c r="D199" s="211"/>
      <c r="E199" s="401" t="str">
        <f>IF(AND(D198&gt;0.014,D199="No"),"Does not meet feasibility criteria","")</f>
        <v/>
      </c>
      <c r="F199" s="402"/>
      <c r="G199" s="402"/>
      <c r="H199" s="402"/>
    </row>
    <row r="200" spans="1:8" ht="12.75" customHeight="1" x14ac:dyDescent="0.35">
      <c r="A200" s="242" t="s">
        <v>473</v>
      </c>
      <c r="B200" s="243"/>
      <c r="C200" s="244"/>
      <c r="D200" s="211"/>
      <c r="E200" s="401" t="str">
        <f>IF(D200="","",IF(AND(D194="Pocket Wetland",D200="Yes"),"Does not meet feasibility criteria",""))</f>
        <v/>
      </c>
      <c r="F200" s="402"/>
      <c r="G200" s="402"/>
      <c r="H200" s="402"/>
    </row>
    <row r="201" spans="1:8" ht="12.75" customHeight="1" x14ac:dyDescent="0.35">
      <c r="A201" s="242" t="s">
        <v>474</v>
      </c>
      <c r="B201" s="243"/>
      <c r="C201" s="244"/>
      <c r="D201" s="211"/>
      <c r="E201" s="401" t="str">
        <f>IF(D201="","",IF(AND(D194="Shallow Wetland",D201="Yes"),"Provide 100% pretreatment",IF(AND(D194="Extended Detention Shallow Wetland",D201="Yes"),"Provide 100% pretreatment",IF(AND(D194="Pond/Wetland System",D201="Yes"),"Provide 100% pretreatment",IF(AND(D194="Pocket Wetland",D201="Yes"),"Does not meet feasibility criteria","")))))</f>
        <v/>
      </c>
      <c r="F201" s="402"/>
      <c r="G201" s="402"/>
      <c r="H201" s="402"/>
    </row>
    <row r="202" spans="1:8" ht="12.75" customHeight="1" x14ac:dyDescent="0.35">
      <c r="A202" s="242" t="s">
        <v>296</v>
      </c>
      <c r="B202" s="243"/>
      <c r="C202" s="244"/>
      <c r="D202" s="43"/>
      <c r="E202" s="401" t="str">
        <f>IF(D202="","",IF(AND(D200="Yes",D202&lt;2),"Does not meet feasibility criteria",IF(AND(D201="Yes",D202&lt;2),"Does not meet feasibility criteria","")))</f>
        <v/>
      </c>
      <c r="F202" s="402"/>
      <c r="G202" s="402"/>
      <c r="H202" s="402"/>
    </row>
    <row r="203" spans="1:8" ht="26.25" customHeight="1" x14ac:dyDescent="0.35">
      <c r="A203" s="242" t="s">
        <v>711</v>
      </c>
      <c r="B203" s="406"/>
      <c r="C203" s="407"/>
      <c r="D203" s="218"/>
      <c r="E203" s="218"/>
      <c r="F203" s="218"/>
      <c r="G203" s="198" t="s">
        <v>716</v>
      </c>
      <c r="H203" s="195">
        <f>IF($D203="",0,(LOOKUP($D203,'STEP 2-WQv Calculation'!$A$8:$A$37,'STEP 2-WQv Calculation'!$B$8:$B$37)))+IF($E203="",0,(LOOKUP($E203,'STEP 2-WQv Calculation'!$A$8:$A$37,'STEP 2-WQv Calculation'!$B$8:$B$37)))+IF($F203="",0,(LOOKUP($F203,'STEP 2-WQv Calculation'!$A$8:$A$37,'STEP 2-WQv Calculation'!$B$8:$B$37)))</f>
        <v>0</v>
      </c>
    </row>
    <row r="204" spans="1:8" ht="12.75" customHeight="1" x14ac:dyDescent="0.35">
      <c r="A204" s="242" t="s">
        <v>475</v>
      </c>
      <c r="B204" s="243"/>
      <c r="C204" s="244"/>
      <c r="D204" s="227" t="str">
        <f>IF(B193="","",IF(AND(D194="Shallow Wetland",(B193+H203)&lt;25),"Yes",IF(AND(D194="Extended Detention Shallow Wetland",(B193+H203)&lt;25),"Yes",IF(AND(D194="Pond/Wetland System",(B193+H203)&lt;25),"Yes",IF(AND(D194="Pocket Wetland",(B193+H203)&lt;5),"Yes","No")))))</f>
        <v/>
      </c>
      <c r="E204" s="401" t="str">
        <f>IF(D204="Yes","Does not meet feasibility criteria","")</f>
        <v/>
      </c>
      <c r="F204" s="402"/>
      <c r="G204" s="402"/>
      <c r="H204" s="402"/>
    </row>
    <row r="205" spans="1:8" ht="12.75" customHeight="1" x14ac:dyDescent="0.35">
      <c r="A205" s="242" t="s">
        <v>715</v>
      </c>
      <c r="B205" s="243"/>
      <c r="C205" s="244"/>
      <c r="D205" s="211"/>
      <c r="E205" s="401" t="str">
        <f>IF(D205="Yes","Does not meet feasibility criteria","")</f>
        <v/>
      </c>
      <c r="F205" s="402"/>
      <c r="G205" s="402"/>
      <c r="H205" s="402"/>
    </row>
    <row r="206" spans="1:8" ht="12.75" customHeight="1" x14ac:dyDescent="0.35">
      <c r="A206" s="242" t="s">
        <v>450</v>
      </c>
      <c r="B206" s="243"/>
      <c r="C206" s="244"/>
      <c r="D206" s="211"/>
      <c r="E206" s="401" t="str">
        <f>IF(D206="No","Does not meet conveyance criteria","")</f>
        <v/>
      </c>
      <c r="F206" s="402"/>
      <c r="G206" s="402"/>
      <c r="H206" s="402"/>
    </row>
    <row r="207" spans="1:8" ht="12.75" customHeight="1" x14ac:dyDescent="0.35">
      <c r="A207" s="242" t="s">
        <v>451</v>
      </c>
      <c r="B207" s="243"/>
      <c r="C207" s="244"/>
      <c r="D207" s="211"/>
      <c r="E207" s="401" t="str">
        <f>IF(D207="No","Does not meet conveyance criteria","")</f>
        <v/>
      </c>
      <c r="F207" s="402"/>
      <c r="G207" s="402"/>
      <c r="H207" s="402"/>
    </row>
    <row r="208" spans="1:8" ht="12.75" customHeight="1" x14ac:dyDescent="0.35">
      <c r="A208" s="242" t="s">
        <v>476</v>
      </c>
      <c r="B208" s="243"/>
      <c r="C208" s="244"/>
      <c r="D208" s="211"/>
      <c r="E208" s="401" t="str">
        <f>IF(D208="No","Does not meet pretreatment criteria","")</f>
        <v/>
      </c>
      <c r="F208" s="402"/>
      <c r="G208" s="402"/>
      <c r="H208" s="402"/>
    </row>
    <row r="209" spans="1:8" ht="13.15" customHeight="1" x14ac:dyDescent="0.35">
      <c r="A209" s="242" t="s">
        <v>453</v>
      </c>
      <c r="B209" s="243"/>
      <c r="C209" s="244"/>
      <c r="D209" s="43"/>
      <c r="E209" s="401" t="str">
        <f>IF(D209="","",IF(D209&lt;1,"Does not meet design criteria",""))</f>
        <v/>
      </c>
      <c r="F209" s="402"/>
      <c r="G209" s="402"/>
      <c r="H209" s="402"/>
    </row>
    <row r="210" spans="1:8" x14ac:dyDescent="0.35">
      <c r="A210" s="242" t="s">
        <v>454</v>
      </c>
      <c r="B210" s="243"/>
      <c r="C210" s="244"/>
      <c r="D210" s="43"/>
      <c r="E210" s="401" t="str">
        <f>IF(D210="","",IF(D210&lt;=3,"Safety bench required",""))</f>
        <v/>
      </c>
      <c r="F210" s="402"/>
      <c r="G210" s="402"/>
      <c r="H210" s="402"/>
    </row>
    <row r="211" spans="1:8" ht="12.75" customHeight="1" x14ac:dyDescent="0.35">
      <c r="A211" s="242" t="s">
        <v>460</v>
      </c>
      <c r="B211" s="243"/>
      <c r="C211" s="244"/>
      <c r="D211" s="43"/>
      <c r="E211" s="401" t="str">
        <f>IF(D211&gt;15,"Does not meet design criteria","")</f>
        <v/>
      </c>
      <c r="F211" s="402"/>
      <c r="G211" s="402"/>
      <c r="H211" s="402"/>
    </row>
    <row r="212" spans="1:8" ht="12.75" customHeight="1" x14ac:dyDescent="0.35">
      <c r="A212" s="242" t="s">
        <v>461</v>
      </c>
      <c r="B212" s="243"/>
      <c r="C212" s="244"/>
      <c r="D212" s="43"/>
      <c r="E212" s="401" t="str">
        <f>IF(D212="","",IF(D212&lt;12,"Does not meet design criteria",""))</f>
        <v/>
      </c>
      <c r="F212" s="402"/>
      <c r="G212" s="402"/>
      <c r="H212" s="402"/>
    </row>
    <row r="213" spans="1:8" ht="12.75" customHeight="1" x14ac:dyDescent="0.35">
      <c r="A213" s="241" t="s">
        <v>232</v>
      </c>
      <c r="B213" s="241"/>
      <c r="C213" s="241"/>
      <c r="D213" s="241"/>
      <c r="E213" s="241"/>
      <c r="F213" s="241"/>
      <c r="G213" s="241"/>
      <c r="H213" s="236"/>
    </row>
    <row r="214" spans="1:8" ht="12.75" customHeight="1" x14ac:dyDescent="0.35">
      <c r="A214" s="378"/>
      <c r="B214" s="379"/>
      <c r="C214" s="380"/>
      <c r="D214" s="222" t="s">
        <v>256</v>
      </c>
      <c r="E214" s="208" t="s">
        <v>257</v>
      </c>
      <c r="F214" s="375" t="s">
        <v>258</v>
      </c>
      <c r="G214" s="376"/>
      <c r="H214" s="376"/>
    </row>
    <row r="215" spans="1:8" ht="12.75" customHeight="1" x14ac:dyDescent="0.35">
      <c r="A215" s="266" t="s">
        <v>477</v>
      </c>
      <c r="B215" s="267"/>
      <c r="C215" s="268"/>
      <c r="D215" s="59"/>
      <c r="E215" s="193" t="s">
        <v>2</v>
      </c>
      <c r="F215" s="403" t="str">
        <f>IF(AND(D215="",D193=""),"",IF(AND(D200="Yes",D215&lt;F192),"Does not meet design criteria",IF(AND(D193="Shallow Wetland",D215=""),"Forebay + Micropool ≥ 25% WQv?",IF(AND(D193="Extended Detention Shallow Wetland",D215=""),"Forebay + Micropool ≥ 25% WQv?",IF(AND(D193="Pond/Wetland System",D215=""),"",IF(AND(D193="Pocket Wetland",D215=""),"Forebay + Micropool ≥ 25% WQv?",IF(D215&lt;0.1*F192,"Does not meet sizing criteria",IF(AND(D199="Yes",D200="Yes",D215&lt;F192),"Does not meet sizing criteria",""))))))))</f>
        <v/>
      </c>
      <c r="G215" s="403"/>
      <c r="H215" s="401"/>
    </row>
    <row r="216" spans="1:8" ht="12.75" customHeight="1" x14ac:dyDescent="0.35">
      <c r="A216" s="266" t="s">
        <v>478</v>
      </c>
      <c r="B216" s="267"/>
      <c r="C216" s="268"/>
      <c r="D216" s="59"/>
      <c r="E216" s="193" t="s">
        <v>58</v>
      </c>
      <c r="F216" s="403" t="str">
        <f>IF(D216="","",IF(D216&gt;6,"Does not meet siizng criteria",""))</f>
        <v/>
      </c>
      <c r="G216" s="403"/>
      <c r="H216" s="401"/>
    </row>
    <row r="217" spans="1:8" ht="12.75" customHeight="1" x14ac:dyDescent="0.35">
      <c r="A217" s="266" t="s">
        <v>479</v>
      </c>
      <c r="B217" s="267"/>
      <c r="C217" s="268"/>
      <c r="D217" s="59"/>
      <c r="E217" s="193" t="s">
        <v>336</v>
      </c>
      <c r="F217" s="403" t="str">
        <f>IF(D217="","",IF(D217&lt;5,"Does not meet sizing criteria",""))</f>
        <v/>
      </c>
      <c r="G217" s="403"/>
      <c r="H217" s="401"/>
    </row>
    <row r="218" spans="1:8" ht="12.75" customHeight="1" x14ac:dyDescent="0.35">
      <c r="A218" s="266" t="s">
        <v>480</v>
      </c>
      <c r="B218" s="267"/>
      <c r="C218" s="268"/>
      <c r="D218" s="59"/>
      <c r="E218" s="193" t="s">
        <v>481</v>
      </c>
      <c r="F218" s="403" t="str">
        <f>IF(D218="","",IF(D218&lt;35,"Does not meet sizing criteria",""))</f>
        <v/>
      </c>
      <c r="G218" s="403"/>
      <c r="H218" s="401"/>
    </row>
    <row r="219" spans="1:8" ht="12.75" customHeight="1" x14ac:dyDescent="0.35">
      <c r="A219" s="266" t="s">
        <v>482</v>
      </c>
      <c r="B219" s="267"/>
      <c r="C219" s="268"/>
      <c r="D219" s="59"/>
      <c r="E219" s="193" t="s">
        <v>58</v>
      </c>
      <c r="F219" s="403" t="str">
        <f>IF(D219="","",IF(D219&lt;6,"Does not meet sizing criteria",IF(D219&gt;18,"Does not meet sizing criteria","")))</f>
        <v/>
      </c>
      <c r="G219" s="403"/>
      <c r="H219" s="401"/>
    </row>
    <row r="220" spans="1:8" ht="12.75" customHeight="1" x14ac:dyDescent="0.35">
      <c r="A220" s="266" t="s">
        <v>483</v>
      </c>
      <c r="B220" s="267"/>
      <c r="C220" s="268"/>
      <c r="D220" s="59"/>
      <c r="E220" s="193" t="s">
        <v>336</v>
      </c>
      <c r="F220" s="403" t="str">
        <f>IF(D220="","",IF(D220&lt;5,"Does not meet sizing criteria",""))</f>
        <v/>
      </c>
      <c r="G220" s="403"/>
      <c r="H220" s="401"/>
    </row>
    <row r="221" spans="1:8" ht="12.75" customHeight="1" x14ac:dyDescent="0.35">
      <c r="A221" s="266" t="s">
        <v>484</v>
      </c>
      <c r="B221" s="267"/>
      <c r="C221" s="268"/>
      <c r="D221" s="59"/>
      <c r="E221" s="193" t="s">
        <v>481</v>
      </c>
      <c r="F221" s="403" t="str">
        <f>IF(D221="","",IF(D221&lt;30,"Does not meet sizing criteria",""))</f>
        <v/>
      </c>
      <c r="G221" s="403"/>
      <c r="H221" s="401"/>
    </row>
    <row r="222" spans="1:8" ht="12.75" customHeight="1" x14ac:dyDescent="0.35">
      <c r="A222" s="266" t="s">
        <v>485</v>
      </c>
      <c r="B222" s="267"/>
      <c r="C222" s="268"/>
      <c r="D222" s="59"/>
      <c r="E222" s="193" t="s">
        <v>271</v>
      </c>
      <c r="F222" s="403" t="str">
        <f>IF(D222="","",IF(D222&lt;4,"Does not meet sizing criteria",""))</f>
        <v/>
      </c>
      <c r="G222" s="403"/>
      <c r="H222" s="401"/>
    </row>
    <row r="223" spans="1:8" ht="12.75" customHeight="1" x14ac:dyDescent="0.35">
      <c r="A223" s="266" t="s">
        <v>486</v>
      </c>
      <c r="B223" s="267"/>
      <c r="C223" s="268"/>
      <c r="D223" s="59"/>
      <c r="E223" s="193" t="s">
        <v>336</v>
      </c>
      <c r="F223" s="403" t="str">
        <f>IF(D223="","",IF(D223&lt;3,"Does not meet sizing criteria",""))</f>
        <v/>
      </c>
      <c r="G223" s="403"/>
      <c r="H223" s="401"/>
    </row>
    <row r="224" spans="1:8" ht="12.75" customHeight="1" x14ac:dyDescent="0.35">
      <c r="A224" s="266" t="s">
        <v>487</v>
      </c>
      <c r="B224" s="267"/>
      <c r="C224" s="268"/>
      <c r="D224" s="59"/>
      <c r="E224" s="193" t="s">
        <v>2</v>
      </c>
      <c r="F224" s="403" t="str">
        <f>IF(AND(D224="",D193=""),"",IF(AND(D193="Shallow Wetland",D224=""),"Forebay + Micropool ≥ 25% WQv?",IF(AND(D193="Extended Detention Shallow Wetland",D224=""),"Forebay + Micropool ≥ 25% WQv?",IF(AND(D193="Pond/Wetland System",D224=""),"",IF(AND(D193="Pocket Wetland",D224=""),"Forebay + Micropool ≥ 25% WQv?",IF(AND(D193="Shallow Wetland",(D215+D224)&lt;0.25*F192),"Does not meet sizing criteria",IF(AND(D193="Extended Detention Shallow Wetland",(D215+D224)&lt;0.25*F192),"Does not meet sizing criteria",IF((D224&lt;0.1*F192),"Does not meet sizing criteria",IF(AND(D193="Pocket Wetland",(D215+D224)&lt;0.25*F192),"Does not meet sizing criteria","")))))))))</f>
        <v/>
      </c>
      <c r="G224" s="403"/>
      <c r="H224" s="401"/>
    </row>
    <row r="225" spans="1:8" ht="12.75" customHeight="1" x14ac:dyDescent="0.35">
      <c r="A225" s="266" t="s">
        <v>488</v>
      </c>
      <c r="B225" s="267"/>
      <c r="C225" s="268"/>
      <c r="D225" s="59"/>
      <c r="E225" s="193" t="s">
        <v>271</v>
      </c>
      <c r="F225" s="403" t="str">
        <f>IF(AND(D194="Shallow Wetland",D225=""),"Not applicable",IF(AND(D194="Extended Detention Shallow Wetland",D225=""),"Not applicable",IF(AND(D194="Pond/Wetland System",D225=""),"",IF(AND(D194="Pocket Wetland",D225=""),"Not applicable",IF(AND(D194="Pond/Wetland System",D225&lt;4),"Does not meet sizing criteria","")))))</f>
        <v/>
      </c>
      <c r="G225" s="403"/>
      <c r="H225" s="401"/>
    </row>
    <row r="226" spans="1:8" ht="12.75" customHeight="1" x14ac:dyDescent="0.35">
      <c r="A226" s="266" t="s">
        <v>489</v>
      </c>
      <c r="B226" s="267"/>
      <c r="C226" s="268"/>
      <c r="D226" s="59"/>
      <c r="E226" s="193" t="s">
        <v>336</v>
      </c>
      <c r="F226" s="403" t="str">
        <f>IF(AND(D194="Shallow Wetland",D226=""),"Not applicable",IF(AND(D194="Extended Detention Shallow Wetland",D226=""),"Not applicable",IF(AND(D194="Pond/Wetland System",D226=""),"",IF(AND(D194="Pocket Wetland",D226=""),"Not applicable",IF(AND(D194="Pond/Wetland System",D226&lt;3),"Does not meet sizing criteria","")))))</f>
        <v/>
      </c>
      <c r="G226" s="403"/>
      <c r="H226" s="401"/>
    </row>
    <row r="227" spans="1:8" ht="13.15" customHeight="1" x14ac:dyDescent="0.35">
      <c r="A227" s="266" t="s">
        <v>490</v>
      </c>
      <c r="B227" s="267"/>
      <c r="C227" s="268"/>
      <c r="D227" s="59"/>
      <c r="E227" s="193" t="s">
        <v>2</v>
      </c>
      <c r="F227" s="403" t="str">
        <f>IF(AND(D227="",D193=""),"",IF(AND(D193="Shallow Wetland",D227=""),"Not applicable",IF(AND(D193="Extended Detention Shallow Wetland",D227=""),"Not applicable",IF(AND(D193="Pond/Wetland System",D227=""),"",IF(AND(D193="Pocket Wetland",D227=""),"Not applicable",IF(AND(D193="Pond/Wetland System",D227&lt;0.25*F192),"Does not meet sizing criteria",""))))))</f>
        <v/>
      </c>
      <c r="G227" s="403"/>
      <c r="H227" s="401"/>
    </row>
    <row r="228" spans="1:8" ht="13.15" customHeight="1" x14ac:dyDescent="0.35">
      <c r="A228" s="266" t="s">
        <v>491</v>
      </c>
      <c r="B228" s="267"/>
      <c r="C228" s="268"/>
      <c r="D228" s="59"/>
      <c r="E228" s="193" t="s">
        <v>271</v>
      </c>
      <c r="F228" s="403" t="str">
        <f>IF(AND(D193="Shallow Wetland",D228=""),"Not applicable",IF(AND(D193="Extended Detention Shallow Wetland",D228=""),"If required, 3 ft max",IF(AND(D193="Pond/Wetland System",D228=""),"If required, 3 ft max",IF(AND(D193="Pocket Wetland",D228=""),"Not applicable",IF(AND(D193="Extended Detention Shallow Wetland",D228&gt;3),"Does not meet sizing criteria",IF(AND(D193="Pond/Wetland System",D228&gt;3),"Does not meet sizing criteria",""))))))</f>
        <v/>
      </c>
      <c r="G228" s="403"/>
      <c r="H228" s="401"/>
    </row>
    <row r="229" spans="1:8" x14ac:dyDescent="0.35">
      <c r="A229" s="266" t="s">
        <v>492</v>
      </c>
      <c r="B229" s="267"/>
      <c r="C229" s="268"/>
      <c r="D229" s="59"/>
      <c r="E229" s="193" t="s">
        <v>336</v>
      </c>
      <c r="F229" s="403" t="str">
        <f>IF(AND(D193="Shallow Wetland",D229=""),"Not applicable",IF(AND(D193="Extended Detention Shallow Wetland",D229=""),"If required, 3:1 max",IF(AND(D193="Pond/Wetland System",D229=""),"If required, 3:1 max",IF(AND(D193="Pocket Wetland",D229=""),"Not applicable",IF(AND(D193="Extended Detention Shallow Wetland",D229&lt;3),"Does not meet sizing criteria",IF(AND(D193="Pond/Wetland System",D229&lt;3),"Does not meet sizing criteria",""))))))</f>
        <v/>
      </c>
      <c r="G229" s="403"/>
      <c r="H229" s="403"/>
    </row>
    <row r="230" spans="1:8" x14ac:dyDescent="0.35">
      <c r="A230" s="266" t="s">
        <v>493</v>
      </c>
      <c r="B230" s="267"/>
      <c r="C230" s="268"/>
      <c r="D230" s="59"/>
      <c r="E230" s="193" t="s">
        <v>2</v>
      </c>
      <c r="F230" s="403" t="str">
        <f>IF(AND(D230="",D193=""),"",IF(AND(D193="Shallow Wetland",D230=""),"Not applicable",IF(AND(D193="Extended Detention Shallow Wetland",D230=""),"If required, 50% WQv max",IF(AND(D193="Pond/Wetland System",D230=""),"If required, 50% WQv max",IF(AND(D193="Pocket Wetland",D230=""),"Not applicable",IF(AND(D193="Extended Detention Shallow Wetland",D230&gt;0.5*F192),"Does not meet sizing criteria",IF(AND(D193="Pond/Wetland System",D230&gt;0.5*F192),"Does not meet sizing criteria","")))))))</f>
        <v/>
      </c>
      <c r="G230" s="403"/>
      <c r="H230" s="403"/>
    </row>
    <row r="231" spans="1:8" ht="13" x14ac:dyDescent="0.35">
      <c r="A231" s="390" t="s">
        <v>468</v>
      </c>
      <c r="B231" s="390"/>
      <c r="C231" s="390"/>
      <c r="D231" s="390"/>
      <c r="E231" s="390"/>
      <c r="F231" s="390"/>
      <c r="G231" s="390"/>
      <c r="H231" s="390"/>
    </row>
    <row r="232" spans="1:8" ht="13" x14ac:dyDescent="0.35">
      <c r="A232" s="398" t="s">
        <v>469</v>
      </c>
      <c r="B232" s="399"/>
      <c r="C232" s="400"/>
      <c r="D232" s="150" t="str">
        <f>IF(F193="","",IF(D197&gt;15,0,IF(AND(D198&gt;0.014,D199="No"),0,IF(AND(D200="Yes",D202&lt;2),0,IF(AND(D201="Yes",D202&lt;2),0,IF(AND(D194="Pocket Wetland",D200="Yes"),0,IF(AND(D194="Pocket Wetland",D201="Yes"),0,IF(AND(D201="Yes",D215&lt;F193),0,IF(D204="Yes",0,IF(D205="Yes",0,IF(D206="No",0,IF(D207="No",0,IF(D208="No",0,IF(D209&lt;1,0,IF(D211&gt;15,0,IF(D212&lt;12,0,IF(D215&lt;0.1*F193,0,IF(D216&gt;6,0,IF(D217&lt;3,0,IF(D218&lt;35,0,IF(D219&lt;6,0,IF(D219&gt;18,0,IF(D220&lt;5,0,IF(D221&lt;30,0,IF(D222&lt;4,0,IF(D223&lt;2,0,IF(D224&lt;0.1*F193,0,IF(AND(D194="Shallow Wetland",(D215+D224)&lt;0.25*F193),0,IF(AND(D194="Extended Detention Shallow Wetland",(D215+D224)&lt;0.25*F193),0,IF(AND(D194="Pocket Wetland",(D215+D224)&lt;0.25*F193),0,IF(AND(D194="Pond/Wetland System",D225&lt;4),0,IF(AND(D194="Pond/Wetland System",D226&lt;3),0,IF(AND(D194="Pond/Wetland System",D227&lt;0.25*F193),0,IF(F228="Does not meet sizing criteria",0,IF(F229="Does not meet sizing criteria",0,IF(F230="Does not meet sizing criteria",0,F193))))))))))))))))))))))))))))))))))))</f>
        <v/>
      </c>
      <c r="E232" s="398" t="s">
        <v>2</v>
      </c>
      <c r="F232" s="399"/>
      <c r="G232" s="399"/>
      <c r="H232" s="400"/>
    </row>
  </sheetData>
  <sheetProtection algorithmName="SHA-512" hashValue="IA7k4DRVEyfRTLQzHzY12R7GHM3Wiu0HcJcHt8IWSOuAqjeAfhcUxDgbuRkzi/Jnpi0Um4CTon7n0ent6upMcw==" saltValue="AWdCJVjDpirJumgXP1AIXw==" spinCount="100000" sheet="1" formatColumns="0" formatRows="0"/>
  <mergeCells count="391">
    <mergeCell ref="A57:C57"/>
    <mergeCell ref="A105:C105"/>
    <mergeCell ref="A154:C154"/>
    <mergeCell ref="A203:C203"/>
    <mergeCell ref="A34:C34"/>
    <mergeCell ref="A35:C35"/>
    <mergeCell ref="A36:C36"/>
    <mergeCell ref="F30:H30"/>
    <mergeCell ref="F31:H31"/>
    <mergeCell ref="A42:H42"/>
    <mergeCell ref="A43:C43"/>
    <mergeCell ref="E43:H43"/>
    <mergeCell ref="F37:H37"/>
    <mergeCell ref="F35:H35"/>
    <mergeCell ref="F41:H41"/>
    <mergeCell ref="F40:H40"/>
    <mergeCell ref="A38:C38"/>
    <mergeCell ref="A39:C39"/>
    <mergeCell ref="A40:C40"/>
    <mergeCell ref="A41:C41"/>
    <mergeCell ref="A30:C30"/>
    <mergeCell ref="A31:C31"/>
    <mergeCell ref="F38:H38"/>
    <mergeCell ref="F39:H39"/>
    <mergeCell ref="F34:H34"/>
    <mergeCell ref="F36:H36"/>
    <mergeCell ref="A37:C37"/>
    <mergeCell ref="F32:H32"/>
    <mergeCell ref="F33:H33"/>
    <mergeCell ref="A32:C32"/>
    <mergeCell ref="A33:C33"/>
    <mergeCell ref="A27:C27"/>
    <mergeCell ref="A28:C28"/>
    <mergeCell ref="A29:C29"/>
    <mergeCell ref="A23:C23"/>
    <mergeCell ref="E23:H23"/>
    <mergeCell ref="F27:H27"/>
    <mergeCell ref="F28:H28"/>
    <mergeCell ref="F29:H29"/>
    <mergeCell ref="A24:H24"/>
    <mergeCell ref="A25:C25"/>
    <mergeCell ref="F25:H25"/>
    <mergeCell ref="F26:H26"/>
    <mergeCell ref="A26:C26"/>
    <mergeCell ref="A18:C18"/>
    <mergeCell ref="E18:H18"/>
    <mergeCell ref="A22:C22"/>
    <mergeCell ref="E22:H22"/>
    <mergeCell ref="A19:C19"/>
    <mergeCell ref="E19:H19"/>
    <mergeCell ref="A20:C20"/>
    <mergeCell ref="E20:H20"/>
    <mergeCell ref="A21:C21"/>
    <mergeCell ref="E21:H21"/>
    <mergeCell ref="A13:C13"/>
    <mergeCell ref="E13:H13"/>
    <mergeCell ref="A15:C15"/>
    <mergeCell ref="E15:H15"/>
    <mergeCell ref="A12:C12"/>
    <mergeCell ref="E12:H12"/>
    <mergeCell ref="A16:C16"/>
    <mergeCell ref="E16:H16"/>
    <mergeCell ref="A17:C17"/>
    <mergeCell ref="E17:H17"/>
    <mergeCell ref="A14:C14"/>
    <mergeCell ref="E11:H11"/>
    <mergeCell ref="A9:C9"/>
    <mergeCell ref="E9:H9"/>
    <mergeCell ref="A2:H2"/>
    <mergeCell ref="I2:J2"/>
    <mergeCell ref="A5:C5"/>
    <mergeCell ref="D5:H5"/>
    <mergeCell ref="A6:H6"/>
    <mergeCell ref="A7:C7"/>
    <mergeCell ref="E7:H7"/>
    <mergeCell ref="A8:C8"/>
    <mergeCell ref="E8:H8"/>
    <mergeCell ref="A45:H45"/>
    <mergeCell ref="A48:C48"/>
    <mergeCell ref="D48:H48"/>
    <mergeCell ref="A49:H49"/>
    <mergeCell ref="A50:C50"/>
    <mergeCell ref="E50:H50"/>
    <mergeCell ref="I33:J33"/>
    <mergeCell ref="N1:Q1"/>
    <mergeCell ref="N2:O2"/>
    <mergeCell ref="N8:O8"/>
    <mergeCell ref="N14:O14"/>
    <mergeCell ref="N20:Q20"/>
    <mergeCell ref="N21:O21"/>
    <mergeCell ref="N27:O27"/>
    <mergeCell ref="N33:O33"/>
    <mergeCell ref="I27:J27"/>
    <mergeCell ref="I21:J21"/>
    <mergeCell ref="I20:L20"/>
    <mergeCell ref="I14:J14"/>
    <mergeCell ref="I8:J8"/>
    <mergeCell ref="I1:L1"/>
    <mergeCell ref="A10:C10"/>
    <mergeCell ref="E10:H10"/>
    <mergeCell ref="A11:C11"/>
    <mergeCell ref="A54:C54"/>
    <mergeCell ref="E54:H54"/>
    <mergeCell ref="A55:C55"/>
    <mergeCell ref="E55:H55"/>
    <mergeCell ref="A56:C56"/>
    <mergeCell ref="E56:H56"/>
    <mergeCell ref="A51:C51"/>
    <mergeCell ref="E51:H51"/>
    <mergeCell ref="A52:C52"/>
    <mergeCell ref="E52:H52"/>
    <mergeCell ref="A53:C53"/>
    <mergeCell ref="E53:H53"/>
    <mergeCell ref="A61:C61"/>
    <mergeCell ref="E61:H61"/>
    <mergeCell ref="A62:C62"/>
    <mergeCell ref="E62:H62"/>
    <mergeCell ref="A63:C63"/>
    <mergeCell ref="E63:H63"/>
    <mergeCell ref="A58:C58"/>
    <mergeCell ref="E58:H58"/>
    <mergeCell ref="A59:C59"/>
    <mergeCell ref="E59:H59"/>
    <mergeCell ref="A60:C60"/>
    <mergeCell ref="E60:H60"/>
    <mergeCell ref="A67:H67"/>
    <mergeCell ref="A68:C68"/>
    <mergeCell ref="F68:H68"/>
    <mergeCell ref="A69:C69"/>
    <mergeCell ref="F69:H69"/>
    <mergeCell ref="A64:C64"/>
    <mergeCell ref="E64:H64"/>
    <mergeCell ref="A65:C65"/>
    <mergeCell ref="E65:H65"/>
    <mergeCell ref="A66:C66"/>
    <mergeCell ref="E66:H66"/>
    <mergeCell ref="A73:C73"/>
    <mergeCell ref="F73:H73"/>
    <mergeCell ref="A74:C74"/>
    <mergeCell ref="F74:H74"/>
    <mergeCell ref="A75:C75"/>
    <mergeCell ref="F75:H75"/>
    <mergeCell ref="A70:C70"/>
    <mergeCell ref="F70:H70"/>
    <mergeCell ref="A71:C71"/>
    <mergeCell ref="F71:H71"/>
    <mergeCell ref="A72:C72"/>
    <mergeCell ref="F72:H72"/>
    <mergeCell ref="A79:C79"/>
    <mergeCell ref="F79:H79"/>
    <mergeCell ref="A80:C80"/>
    <mergeCell ref="F80:H80"/>
    <mergeCell ref="A81:C81"/>
    <mergeCell ref="F81:H81"/>
    <mergeCell ref="A76:C76"/>
    <mergeCell ref="F76:H76"/>
    <mergeCell ref="A77:C77"/>
    <mergeCell ref="F77:H77"/>
    <mergeCell ref="A78:C78"/>
    <mergeCell ref="F78:H78"/>
    <mergeCell ref="A85:H85"/>
    <mergeCell ref="A86:C86"/>
    <mergeCell ref="E86:H86"/>
    <mergeCell ref="A93:H93"/>
    <mergeCell ref="A96:C96"/>
    <mergeCell ref="D96:H96"/>
    <mergeCell ref="A82:C82"/>
    <mergeCell ref="F82:H82"/>
    <mergeCell ref="A83:C83"/>
    <mergeCell ref="F83:H83"/>
    <mergeCell ref="A84:C84"/>
    <mergeCell ref="F84:H84"/>
    <mergeCell ref="A100:C100"/>
    <mergeCell ref="E100:H100"/>
    <mergeCell ref="A101:C101"/>
    <mergeCell ref="E101:H101"/>
    <mergeCell ref="A102:C102"/>
    <mergeCell ref="E102:H102"/>
    <mergeCell ref="A97:H97"/>
    <mergeCell ref="A98:C98"/>
    <mergeCell ref="E98:H98"/>
    <mergeCell ref="A99:C99"/>
    <mergeCell ref="E99:H99"/>
    <mergeCell ref="A107:C107"/>
    <mergeCell ref="E107:H107"/>
    <mergeCell ref="A108:C108"/>
    <mergeCell ref="E108:H108"/>
    <mergeCell ref="A109:C109"/>
    <mergeCell ref="E109:H109"/>
    <mergeCell ref="A103:C103"/>
    <mergeCell ref="E103:H103"/>
    <mergeCell ref="A104:C104"/>
    <mergeCell ref="E104:H104"/>
    <mergeCell ref="A106:C106"/>
    <mergeCell ref="E106:H106"/>
    <mergeCell ref="A113:C113"/>
    <mergeCell ref="E113:H113"/>
    <mergeCell ref="A114:C114"/>
    <mergeCell ref="E114:H114"/>
    <mergeCell ref="A115:H115"/>
    <mergeCell ref="A110:C110"/>
    <mergeCell ref="E110:H110"/>
    <mergeCell ref="A111:C111"/>
    <mergeCell ref="E111:H111"/>
    <mergeCell ref="A112:C112"/>
    <mergeCell ref="E112:H112"/>
    <mergeCell ref="A119:C119"/>
    <mergeCell ref="F119:H119"/>
    <mergeCell ref="A120:C120"/>
    <mergeCell ref="F120:H120"/>
    <mergeCell ref="A121:C121"/>
    <mergeCell ref="F121:H121"/>
    <mergeCell ref="A116:C116"/>
    <mergeCell ref="F116:H116"/>
    <mergeCell ref="A117:C117"/>
    <mergeCell ref="F117:H117"/>
    <mergeCell ref="A118:C118"/>
    <mergeCell ref="F118:H118"/>
    <mergeCell ref="A125:C125"/>
    <mergeCell ref="F125:H125"/>
    <mergeCell ref="A126:C126"/>
    <mergeCell ref="F126:H126"/>
    <mergeCell ref="A127:C127"/>
    <mergeCell ref="F127:H127"/>
    <mergeCell ref="A122:C122"/>
    <mergeCell ref="F122:H122"/>
    <mergeCell ref="A123:C123"/>
    <mergeCell ref="F123:H123"/>
    <mergeCell ref="A124:C124"/>
    <mergeCell ref="F124:H124"/>
    <mergeCell ref="A131:C131"/>
    <mergeCell ref="F131:H131"/>
    <mergeCell ref="A132:C132"/>
    <mergeCell ref="F132:H132"/>
    <mergeCell ref="A133:H133"/>
    <mergeCell ref="A128:C128"/>
    <mergeCell ref="F128:H128"/>
    <mergeCell ref="A129:C129"/>
    <mergeCell ref="F129:H129"/>
    <mergeCell ref="A130:C130"/>
    <mergeCell ref="F130:H130"/>
    <mergeCell ref="A146:H146"/>
    <mergeCell ref="A147:C147"/>
    <mergeCell ref="E147:H147"/>
    <mergeCell ref="A148:C148"/>
    <mergeCell ref="E148:H148"/>
    <mergeCell ref="A134:C134"/>
    <mergeCell ref="E134:H134"/>
    <mergeCell ref="A142:H142"/>
    <mergeCell ref="A145:C145"/>
    <mergeCell ref="D145:H145"/>
    <mergeCell ref="A152:C152"/>
    <mergeCell ref="E152:H152"/>
    <mergeCell ref="A153:C153"/>
    <mergeCell ref="E153:H153"/>
    <mergeCell ref="A155:C155"/>
    <mergeCell ref="E155:H155"/>
    <mergeCell ref="A149:C149"/>
    <mergeCell ref="E149:H149"/>
    <mergeCell ref="A150:C150"/>
    <mergeCell ref="E150:H150"/>
    <mergeCell ref="A151:C151"/>
    <mergeCell ref="E151:H151"/>
    <mergeCell ref="A159:C159"/>
    <mergeCell ref="E159:H159"/>
    <mergeCell ref="A160:C160"/>
    <mergeCell ref="E160:H160"/>
    <mergeCell ref="A161:C161"/>
    <mergeCell ref="E161:H161"/>
    <mergeCell ref="A156:C156"/>
    <mergeCell ref="E156:H156"/>
    <mergeCell ref="A157:C157"/>
    <mergeCell ref="E157:H157"/>
    <mergeCell ref="A158:C158"/>
    <mergeCell ref="E158:H158"/>
    <mergeCell ref="A165:C165"/>
    <mergeCell ref="F165:H165"/>
    <mergeCell ref="A166:C166"/>
    <mergeCell ref="F166:H166"/>
    <mergeCell ref="A167:C167"/>
    <mergeCell ref="F167:H167"/>
    <mergeCell ref="A162:C162"/>
    <mergeCell ref="E162:H162"/>
    <mergeCell ref="A163:C163"/>
    <mergeCell ref="E163:H163"/>
    <mergeCell ref="A164:H164"/>
    <mergeCell ref="A171:C171"/>
    <mergeCell ref="F171:H171"/>
    <mergeCell ref="A172:C172"/>
    <mergeCell ref="F172:H172"/>
    <mergeCell ref="A173:C173"/>
    <mergeCell ref="F173:H173"/>
    <mergeCell ref="A168:C168"/>
    <mergeCell ref="F168:H168"/>
    <mergeCell ref="A169:C169"/>
    <mergeCell ref="F169:H169"/>
    <mergeCell ref="A170:C170"/>
    <mergeCell ref="F170:H170"/>
    <mergeCell ref="A177:C177"/>
    <mergeCell ref="F177:H177"/>
    <mergeCell ref="A178:C178"/>
    <mergeCell ref="F178:H178"/>
    <mergeCell ref="A179:C179"/>
    <mergeCell ref="F179:H179"/>
    <mergeCell ref="A174:C174"/>
    <mergeCell ref="F174:H174"/>
    <mergeCell ref="A175:C175"/>
    <mergeCell ref="F175:H175"/>
    <mergeCell ref="A176:C176"/>
    <mergeCell ref="F176:H176"/>
    <mergeCell ref="A183:C183"/>
    <mergeCell ref="E183:H183"/>
    <mergeCell ref="A191:H191"/>
    <mergeCell ref="A194:C194"/>
    <mergeCell ref="D194:H194"/>
    <mergeCell ref="A180:C180"/>
    <mergeCell ref="F180:H180"/>
    <mergeCell ref="A181:C181"/>
    <mergeCell ref="F181:H181"/>
    <mergeCell ref="A182:H182"/>
    <mergeCell ref="A198:C198"/>
    <mergeCell ref="E198:H198"/>
    <mergeCell ref="A199:C199"/>
    <mergeCell ref="E199:H199"/>
    <mergeCell ref="A200:C200"/>
    <mergeCell ref="E200:H200"/>
    <mergeCell ref="A195:H195"/>
    <mergeCell ref="A196:C196"/>
    <mergeCell ref="E196:H196"/>
    <mergeCell ref="A197:C197"/>
    <mergeCell ref="E197:H197"/>
    <mergeCell ref="A205:C205"/>
    <mergeCell ref="E205:H205"/>
    <mergeCell ref="A206:C206"/>
    <mergeCell ref="E206:H206"/>
    <mergeCell ref="A207:C207"/>
    <mergeCell ref="E207:H207"/>
    <mergeCell ref="A201:C201"/>
    <mergeCell ref="E201:H201"/>
    <mergeCell ref="A202:C202"/>
    <mergeCell ref="E202:H202"/>
    <mergeCell ref="A204:C204"/>
    <mergeCell ref="E204:H204"/>
    <mergeCell ref="A211:C211"/>
    <mergeCell ref="E211:H211"/>
    <mergeCell ref="A212:C212"/>
    <mergeCell ref="E212:H212"/>
    <mergeCell ref="A213:H213"/>
    <mergeCell ref="A208:C208"/>
    <mergeCell ref="E208:H208"/>
    <mergeCell ref="A209:C209"/>
    <mergeCell ref="E209:H209"/>
    <mergeCell ref="A210:C210"/>
    <mergeCell ref="E210:H210"/>
    <mergeCell ref="A217:C217"/>
    <mergeCell ref="F217:H217"/>
    <mergeCell ref="A218:C218"/>
    <mergeCell ref="F218:H218"/>
    <mergeCell ref="A219:C219"/>
    <mergeCell ref="F219:H219"/>
    <mergeCell ref="A214:C214"/>
    <mergeCell ref="F214:H214"/>
    <mergeCell ref="A215:C215"/>
    <mergeCell ref="F215:H215"/>
    <mergeCell ref="A216:C216"/>
    <mergeCell ref="F216:H216"/>
    <mergeCell ref="A223:C223"/>
    <mergeCell ref="F223:H223"/>
    <mergeCell ref="A224:C224"/>
    <mergeCell ref="F224:H224"/>
    <mergeCell ref="A225:C225"/>
    <mergeCell ref="F225:H225"/>
    <mergeCell ref="A220:C220"/>
    <mergeCell ref="F220:H220"/>
    <mergeCell ref="A221:C221"/>
    <mergeCell ref="F221:H221"/>
    <mergeCell ref="A222:C222"/>
    <mergeCell ref="F222:H222"/>
    <mergeCell ref="A232:C232"/>
    <mergeCell ref="E232:H232"/>
    <mergeCell ref="A229:C229"/>
    <mergeCell ref="F229:H229"/>
    <mergeCell ref="A230:C230"/>
    <mergeCell ref="F230:H230"/>
    <mergeCell ref="A231:H231"/>
    <mergeCell ref="A226:C226"/>
    <mergeCell ref="F226:H226"/>
    <mergeCell ref="A227:C227"/>
    <mergeCell ref="F227:H227"/>
    <mergeCell ref="A228:C228"/>
    <mergeCell ref="F228:H228"/>
  </mergeCells>
  <dataValidations count="4">
    <dataValidation type="list" showInputMessage="1" showErrorMessage="1" promptTitle="Choose Area" sqref="A4 A144 A47 A95 A193 D14:F14 D57:F57 D105:F105 D154:F154 D203:F203" xr:uid="{D9DE3DF4-109A-483E-AC64-01E10618A0E3}">
      <formula1>CatchNo</formula1>
    </dataValidation>
    <dataValidation type="list" showInputMessage="1" showErrorMessage="1" promptTitle="Yes or No?" sqref="D7 D10:D12 D16:D19 D147 D150:D152 D156:D159 D50 D53:D55 D59:D62 D98 D101:D103 D107:D110 D196 D199:D201 D205:D208" xr:uid="{B75F7EF0-81CB-4B4B-94FB-581C7A66CEFC}">
      <formula1>YesNo</formula1>
    </dataValidation>
    <dataValidation type="decimal" operator="greaterThan" allowBlank="1" showInputMessage="1" showErrorMessage="1" sqref="D8 D20:D23 D26:D41 D51 D209:D212 D63:D66 D69:D84 D99 D215:D230 D111:D114 D117:D132 D148 D197 D160:D163 D166:D181" xr:uid="{8F8DAEEB-6AB6-487B-9168-441222EBAE44}">
      <formula1>0</formula1>
    </dataValidation>
    <dataValidation type="decimal" operator="greaterThanOrEqual" allowBlank="1" showInputMessage="1" showErrorMessage="1" sqref="D9 D52 D100 D149 D198 D13 D56 D104 D153 D202" xr:uid="{7A3577D1-1A50-4F41-90FA-2914C129798E}">
      <formula1>0</formula1>
    </dataValidation>
  </dataValidations>
  <pageMargins left="0.5" right="0.5" top="0.75" bottom="0.5" header="0.3" footer="0.3"/>
  <pageSetup paperSize="278" orientation="portrait" r:id="rId1"/>
  <headerFooter>
    <oddHeader xml:space="preserve">&amp;C&amp;"Arial,Regular"&amp;18Stormwater Wetlands&amp;"-,Regular"
</oddHeader>
  </headerFooter>
  <rowBreaks count="4" manualBreakCount="4">
    <brk id="43" max="16383" man="1"/>
    <brk id="90" max="16383" man="1"/>
    <brk id="138" max="16383" man="1"/>
    <brk id="186" max="16383" man="1"/>
  </rowBreaks>
  <extLst>
    <ext xmlns:x14="http://schemas.microsoft.com/office/spreadsheetml/2009/9/main" uri="{CCE6A557-97BC-4b89-ADB6-D9C93CAAB3DF}">
      <x14:dataValidations xmlns:xm="http://schemas.microsoft.com/office/excel/2006/main" count="1">
        <x14:dataValidation type="list" showInputMessage="1" showErrorMessage="1" promptTitle="Yes or No?" xr:uid="{E358570F-94A9-4E5D-9218-34CD07AFE373}">
          <x14:formula1>
            <xm:f>Reference!$A$62:$A$65</xm:f>
          </x14:formula1>
          <xm:sqref>D5:H5 D145:H145 D48:H48 D96:H96 D194:H194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1230F-7A77-48F9-A41F-0C038BED3E70}">
  <dimension ref="A1:P360"/>
  <sheetViews>
    <sheetView view="pageLayout" zoomScaleNormal="100" workbookViewId="0">
      <selection activeCell="E22" sqref="E22:H22"/>
    </sheetView>
  </sheetViews>
  <sheetFormatPr defaultColWidth="9.1796875" defaultRowHeight="12.5" x14ac:dyDescent="0.35"/>
  <cols>
    <col min="1" max="1" width="12.7265625" style="12" customWidth="1"/>
    <col min="2" max="2" width="18.54296875" style="12" customWidth="1"/>
    <col min="3" max="3" width="14.1796875" style="12" customWidth="1"/>
    <col min="4" max="4" width="10.7265625" style="12" customWidth="1"/>
    <col min="5" max="5" width="7.54296875" style="12" customWidth="1"/>
    <col min="6" max="6" width="6.7265625" style="12" customWidth="1"/>
    <col min="7" max="7" width="12.453125" style="12" customWidth="1"/>
    <col min="8" max="8" width="12.54296875" style="12" customWidth="1"/>
    <col min="9" max="16384" width="9.1796875" style="12"/>
  </cols>
  <sheetData>
    <row r="1" spans="1:12" ht="18" customHeight="1" x14ac:dyDescent="0.35">
      <c r="A1" s="16" t="s">
        <v>56</v>
      </c>
      <c r="B1" s="225" t="str">
        <f>IF('STEP 2-WQv Calculation'!$B$4="","",'STEP 2-WQv Calculation'!$B$4)</f>
        <v/>
      </c>
      <c r="C1" s="199"/>
      <c r="D1" s="199"/>
      <c r="E1" s="199"/>
      <c r="F1" s="199"/>
      <c r="G1" s="199"/>
      <c r="H1" s="199"/>
    </row>
    <row r="2" spans="1:12" ht="13" x14ac:dyDescent="0.35">
      <c r="A2" s="241" t="s">
        <v>293</v>
      </c>
      <c r="B2" s="241"/>
      <c r="C2" s="241"/>
      <c r="D2" s="241"/>
      <c r="E2" s="241"/>
      <c r="F2" s="241"/>
      <c r="G2" s="241"/>
      <c r="H2" s="241"/>
      <c r="I2" s="255" t="s">
        <v>219</v>
      </c>
      <c r="J2" s="256"/>
      <c r="K2" s="49">
        <f>SUM(B4,B40,B76,B112,B148,B184,B220,B256,B292,B328)</f>
        <v>0</v>
      </c>
      <c r="L2" s="12" t="s">
        <v>223</v>
      </c>
    </row>
    <row r="3" spans="1:12" ht="46.75" customHeight="1" x14ac:dyDescent="0.35">
      <c r="A3" s="204" t="s">
        <v>60</v>
      </c>
      <c r="B3" s="205" t="s">
        <v>61</v>
      </c>
      <c r="C3" s="205" t="s">
        <v>62</v>
      </c>
      <c r="D3" s="205" t="s">
        <v>63</v>
      </c>
      <c r="E3" s="205" t="s">
        <v>64</v>
      </c>
      <c r="F3" s="205" t="s">
        <v>65</v>
      </c>
      <c r="G3" s="205" t="s">
        <v>244</v>
      </c>
      <c r="H3" s="206" t="s">
        <v>13</v>
      </c>
      <c r="I3" s="255" t="s">
        <v>245</v>
      </c>
      <c r="J3" s="256"/>
      <c r="K3" s="21">
        <f>SUM(C4,C40,C76,C112,C148,C184,C220,C256,C292,C328)</f>
        <v>0</v>
      </c>
      <c r="L3" s="12" t="s">
        <v>223</v>
      </c>
    </row>
    <row r="4" spans="1:12"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c r="I4" s="255" t="s">
        <v>447</v>
      </c>
      <c r="J4" s="256"/>
      <c r="K4" s="28">
        <f>SUM(D36,D72,D108,D144,D180,D216,D252,D288,D324,D360)</f>
        <v>0</v>
      </c>
      <c r="L4" s="12" t="s">
        <v>2</v>
      </c>
    </row>
    <row r="5" spans="1:12" s="1" customFormat="1" ht="15" customHeight="1" x14ac:dyDescent="0.35">
      <c r="A5" s="273" t="s">
        <v>226</v>
      </c>
      <c r="B5" s="273"/>
      <c r="C5" s="273"/>
      <c r="D5" s="273"/>
      <c r="E5" s="273"/>
      <c r="F5" s="273"/>
      <c r="G5" s="273"/>
      <c r="H5" s="273"/>
      <c r="I5" s="4"/>
    </row>
    <row r="6" spans="1:12" s="1" customFormat="1" ht="14.5" x14ac:dyDescent="0.35">
      <c r="A6" s="242" t="s">
        <v>471</v>
      </c>
      <c r="B6" s="243"/>
      <c r="C6" s="244"/>
      <c r="D6" s="211"/>
      <c r="E6" s="401" t="str">
        <f>IF(D6="YES", "A permit is required","")</f>
        <v/>
      </c>
      <c r="F6" s="402"/>
      <c r="G6" s="402"/>
      <c r="H6" s="405"/>
      <c r="I6" s="4"/>
    </row>
    <row r="7" spans="1:12" s="1" customFormat="1" ht="14.5" x14ac:dyDescent="0.35">
      <c r="A7" s="242" t="s">
        <v>472</v>
      </c>
      <c r="B7" s="243"/>
      <c r="C7" s="244"/>
      <c r="D7" s="43"/>
      <c r="E7" s="401" t="str">
        <f>IF(D7&gt;15,"Does not meet feasibility criteria","")</f>
        <v/>
      </c>
      <c r="F7" s="402"/>
      <c r="G7" s="402"/>
      <c r="H7" s="405"/>
      <c r="I7" s="4"/>
    </row>
    <row r="8" spans="1:12" s="1" customFormat="1" ht="26.25" customHeight="1" x14ac:dyDescent="0.35">
      <c r="A8" s="242" t="s">
        <v>442</v>
      </c>
      <c r="B8" s="243"/>
      <c r="C8" s="244"/>
      <c r="D8" s="43"/>
      <c r="E8" s="401" t="str">
        <f>IF(D8="","If an impermeable liner is provided, enter 0 in/hr",IF(D8&gt;0.014,"Does not meet feasibility criteria, provide an impermeable liner",""))</f>
        <v>If an impermeable liner is provided, enter 0 in/hr</v>
      </c>
      <c r="F8" s="402"/>
      <c r="G8" s="402"/>
      <c r="H8" s="405"/>
      <c r="I8" s="4"/>
    </row>
    <row r="9" spans="1:12" s="1" customFormat="1" ht="13.9" customHeight="1" x14ac:dyDescent="0.35">
      <c r="A9" s="242" t="s">
        <v>443</v>
      </c>
      <c r="B9" s="243"/>
      <c r="C9" s="244"/>
      <c r="D9" s="211"/>
      <c r="E9" s="401" t="str">
        <f>IF(AND(D8&gt;0.014,D9="No"),"Does not meet feasibility criteria","")</f>
        <v/>
      </c>
      <c r="F9" s="402"/>
      <c r="G9" s="402"/>
      <c r="H9" s="405"/>
      <c r="I9" s="4"/>
    </row>
    <row r="10" spans="1:12" s="1" customFormat="1" ht="13.9" customHeight="1" x14ac:dyDescent="0.35">
      <c r="A10" s="242" t="s">
        <v>473</v>
      </c>
      <c r="B10" s="243"/>
      <c r="C10" s="244"/>
      <c r="D10" s="211"/>
      <c r="E10" s="401" t="str">
        <f>IF(AND(D9="No",D10="Yes"),"Does not meet feasibility criteria","")</f>
        <v/>
      </c>
      <c r="F10" s="402"/>
      <c r="G10" s="402"/>
      <c r="H10" s="405"/>
      <c r="I10" s="4"/>
    </row>
    <row r="11" spans="1:12" s="1" customFormat="1" ht="13.9" customHeight="1" x14ac:dyDescent="0.35">
      <c r="A11" s="242" t="s">
        <v>474</v>
      </c>
      <c r="B11" s="243"/>
      <c r="C11" s="244"/>
      <c r="D11" s="211"/>
      <c r="E11" s="401" t="str">
        <f>IF(AND(D9="Yes",D11="Yes"),"Provide 100% pretreatment",IF(AND(D9="No",D11="Yes"),"Does not meet feasibility criteria",""))</f>
        <v/>
      </c>
      <c r="F11" s="402"/>
      <c r="G11" s="402"/>
      <c r="H11" s="405"/>
      <c r="I11" s="4"/>
    </row>
    <row r="12" spans="1:12" s="1" customFormat="1" ht="14.5" x14ac:dyDescent="0.35">
      <c r="A12" s="242" t="s">
        <v>296</v>
      </c>
      <c r="B12" s="243"/>
      <c r="C12" s="244"/>
      <c r="D12" s="43"/>
      <c r="E12" s="401" t="str">
        <f>IF(AND(D9="No",D10="Yes"),"Does not meet feasibility criteria",IF(AND(D9="No",D11="Yes"),"Does not meet feasibility criteria",IF(AND(D9="Yes",D10="Yes",D12&lt;2),"Does not meet feasibility criteria",IF(AND(D9="Yes",D11="Yes",D12&lt;2),"Does not meet feasibility criteria",""))))</f>
        <v/>
      </c>
      <c r="F12" s="402"/>
      <c r="G12" s="402"/>
      <c r="H12" s="405"/>
      <c r="I12" s="4"/>
    </row>
    <row r="13" spans="1:12" s="1" customFormat="1" ht="25" x14ac:dyDescent="0.35">
      <c r="A13" s="242" t="s">
        <v>711</v>
      </c>
      <c r="B13" s="406"/>
      <c r="C13" s="407"/>
      <c r="D13" s="218"/>
      <c r="E13" s="218"/>
      <c r="F13" s="218"/>
      <c r="G13" s="198" t="s">
        <v>716</v>
      </c>
      <c r="H13" s="198">
        <f>IF($D13="",0,(LOOKUP($D13,'STEP 2-WQv Calculation'!$A$8:$A$37,'STEP 2-WQv Calculation'!$B$8:$B$37)))+IF($E13="",0,(LOOKUP($E13,'STEP 2-WQv Calculation'!$A$8:$A$37,'STEP 2-WQv Calculation'!$B$8:$B$37)))+IF($F13="",0,(LOOKUP($F13,'STEP 2-WQv Calculation'!$A$8:$A$37,'STEP 2-WQv Calculation'!$B$8:$B$37)))</f>
        <v>0</v>
      </c>
      <c r="I13" s="4"/>
    </row>
    <row r="14" spans="1:12" s="1" customFormat="1" ht="14.5" x14ac:dyDescent="0.35">
      <c r="A14" s="242" t="s">
        <v>494</v>
      </c>
      <c r="B14" s="243"/>
      <c r="C14" s="244"/>
      <c r="D14" s="227" t="str">
        <f>IF(B4="","",IF((B4+H13)&gt;5,"Yes","No"))</f>
        <v/>
      </c>
      <c r="E14" s="401" t="str">
        <f>IF(D14="Yes","Does not meet feasibility criteria","")</f>
        <v/>
      </c>
      <c r="F14" s="402"/>
      <c r="G14" s="402"/>
      <c r="H14" s="405"/>
      <c r="I14" s="4"/>
    </row>
    <row r="15" spans="1:12" s="1" customFormat="1" ht="15.65" customHeight="1" x14ac:dyDescent="0.35">
      <c r="A15" s="242" t="s">
        <v>495</v>
      </c>
      <c r="B15" s="243"/>
      <c r="C15" s="244"/>
      <c r="D15" s="211"/>
      <c r="E15" s="401" t="str">
        <f>IF(D15="No","Does not meet conveyance criteria","")</f>
        <v/>
      </c>
      <c r="F15" s="402"/>
      <c r="G15" s="402"/>
      <c r="H15" s="405"/>
      <c r="I15" s="4"/>
    </row>
    <row r="16" spans="1:12" s="1" customFormat="1" ht="15.65" customHeight="1" x14ac:dyDescent="0.35">
      <c r="A16" s="242" t="s">
        <v>496</v>
      </c>
      <c r="B16" s="243"/>
      <c r="C16" s="244"/>
      <c r="D16" s="211"/>
      <c r="E16" s="401" t="str">
        <f>IF(D16="No","Does not meet conveyance criteria","")</f>
        <v/>
      </c>
      <c r="F16" s="402"/>
      <c r="G16" s="402"/>
      <c r="H16" s="405"/>
      <c r="I16" s="4"/>
    </row>
    <row r="17" spans="1:16" s="1" customFormat="1" ht="15.65" customHeight="1" x14ac:dyDescent="0.35">
      <c r="A17" s="242" t="s">
        <v>497</v>
      </c>
      <c r="B17" s="243"/>
      <c r="C17" s="244"/>
      <c r="D17" s="211"/>
      <c r="E17" s="401" t="str">
        <f>IF(D17="No","Does not meet conveyance criteria","")</f>
        <v/>
      </c>
      <c r="F17" s="402"/>
      <c r="G17" s="402"/>
      <c r="H17" s="405"/>
      <c r="I17" s="4"/>
    </row>
    <row r="18" spans="1:16" s="1" customFormat="1" ht="15.65" customHeight="1" x14ac:dyDescent="0.35">
      <c r="A18" s="242" t="s">
        <v>451</v>
      </c>
      <c r="B18" s="243"/>
      <c r="C18" s="244"/>
      <c r="D18" s="211"/>
      <c r="E18" s="401" t="str">
        <f>IF(D18="No","Does not meet conveyance criteria","")</f>
        <v/>
      </c>
      <c r="F18" s="402"/>
      <c r="G18" s="402"/>
      <c r="H18" s="405"/>
      <c r="I18" s="4"/>
    </row>
    <row r="19" spans="1:16" s="1" customFormat="1" ht="15.65" customHeight="1" x14ac:dyDescent="0.35">
      <c r="A19" s="242" t="s">
        <v>476</v>
      </c>
      <c r="B19" s="243"/>
      <c r="C19" s="244"/>
      <c r="D19" s="211"/>
      <c r="E19" s="401" t="str">
        <f>IF(D19="No","Does not meet pretreatment criteria","")</f>
        <v/>
      </c>
      <c r="F19" s="402"/>
      <c r="G19" s="402"/>
      <c r="H19" s="405"/>
      <c r="I19" s="4"/>
    </row>
    <row r="20" spans="1:16" s="1" customFormat="1" ht="15.65" customHeight="1" x14ac:dyDescent="0.35">
      <c r="A20" s="242" t="s">
        <v>453</v>
      </c>
      <c r="B20" s="243"/>
      <c r="C20" s="244"/>
      <c r="D20" s="43"/>
      <c r="E20" s="401" t="str">
        <f>IF(D20="","",IF(D20&lt;1,"Does not meet design criteria",""))</f>
        <v/>
      </c>
      <c r="F20" s="402"/>
      <c r="G20" s="402"/>
      <c r="H20" s="405"/>
      <c r="I20" s="4"/>
    </row>
    <row r="21" spans="1:16" s="1" customFormat="1" ht="14.5" x14ac:dyDescent="0.35">
      <c r="A21" s="242" t="s">
        <v>286</v>
      </c>
      <c r="B21" s="243"/>
      <c r="C21" s="244"/>
      <c r="D21" s="43"/>
      <c r="E21" s="401" t="str">
        <f>IF(D21="","",IF(D21&lt;8,"Does not meet design criteria",""))</f>
        <v/>
      </c>
      <c r="F21" s="402"/>
      <c r="G21" s="402"/>
      <c r="H21" s="405"/>
      <c r="I21" s="4"/>
    </row>
    <row r="22" spans="1:16" s="1" customFormat="1" ht="14.5" x14ac:dyDescent="0.35">
      <c r="A22" s="242" t="s">
        <v>498</v>
      </c>
      <c r="B22" s="243"/>
      <c r="C22" s="244"/>
      <c r="D22" s="43"/>
      <c r="E22" s="401" t="str">
        <f>IF(D22="","",IF(D22&lt;3,"Does not meet design criteria",""))</f>
        <v/>
      </c>
      <c r="F22" s="402"/>
      <c r="G22" s="402"/>
      <c r="H22" s="405"/>
      <c r="I22" s="4"/>
    </row>
    <row r="23" spans="1:16" s="1" customFormat="1" ht="14.5" x14ac:dyDescent="0.35">
      <c r="A23" s="242" t="s">
        <v>499</v>
      </c>
      <c r="B23" s="243"/>
      <c r="C23" s="244"/>
      <c r="D23" s="43"/>
      <c r="E23" s="401" t="str">
        <f>IF(D23="","",IF(D23&lt;24,"Does not meet design criteria",""))</f>
        <v/>
      </c>
      <c r="F23" s="402"/>
      <c r="G23" s="402"/>
      <c r="H23" s="405"/>
      <c r="I23" s="4"/>
    </row>
    <row r="24" spans="1:16" s="1" customFormat="1" ht="14.5" x14ac:dyDescent="0.35">
      <c r="A24" s="242" t="s">
        <v>500</v>
      </c>
      <c r="B24" s="243"/>
      <c r="C24" s="244"/>
      <c r="D24" s="43"/>
      <c r="E24" s="401" t="str">
        <f>IF(D24="","",IF(D24&lt;3,"Does not meet design criteria",""))</f>
        <v/>
      </c>
      <c r="F24" s="402"/>
      <c r="G24" s="402"/>
      <c r="H24" s="405"/>
      <c r="I24" s="4"/>
    </row>
    <row r="25" spans="1:16" s="1" customFormat="1" ht="15.65" customHeight="1" x14ac:dyDescent="0.35">
      <c r="A25" s="242" t="s">
        <v>501</v>
      </c>
      <c r="B25" s="243"/>
      <c r="C25" s="244"/>
      <c r="D25" s="211"/>
      <c r="E25" s="401" t="str">
        <f>IF(D25="No","Does not meet design criteria","")</f>
        <v/>
      </c>
      <c r="F25" s="402"/>
      <c r="G25" s="402"/>
      <c r="H25" s="405"/>
      <c r="I25" s="4"/>
    </row>
    <row r="26" spans="1:16" s="1" customFormat="1" ht="15.65" customHeight="1" x14ac:dyDescent="0.35">
      <c r="A26" s="242" t="s">
        <v>502</v>
      </c>
      <c r="B26" s="243"/>
      <c r="C26" s="244"/>
      <c r="D26" s="211"/>
      <c r="E26" s="401" t="str">
        <f>IF(D26="No","Does not meet design criteria","")</f>
        <v/>
      </c>
      <c r="F26" s="402"/>
      <c r="G26" s="402"/>
      <c r="H26" s="405"/>
      <c r="I26" s="4"/>
    </row>
    <row r="27" spans="1:16" s="1" customFormat="1" ht="15.65" customHeight="1" x14ac:dyDescent="0.35">
      <c r="A27" s="242" t="s">
        <v>503</v>
      </c>
      <c r="B27" s="243"/>
      <c r="C27" s="244"/>
      <c r="D27" s="211"/>
      <c r="E27" s="401" t="str">
        <f>IF(D27="No","Does not meet design criteria","")</f>
        <v/>
      </c>
      <c r="F27" s="402"/>
      <c r="G27" s="402"/>
      <c r="H27" s="405"/>
      <c r="I27" s="4"/>
    </row>
    <row r="28" spans="1:16" s="1" customFormat="1" ht="14.5" x14ac:dyDescent="0.35">
      <c r="A28" s="242" t="s">
        <v>460</v>
      </c>
      <c r="B28" s="243"/>
      <c r="C28" s="244"/>
      <c r="D28" s="43"/>
      <c r="E28" s="401" t="str">
        <f>IF(D28&gt;15,"Does not meet design criteria","")</f>
        <v/>
      </c>
      <c r="F28" s="402"/>
      <c r="G28" s="402"/>
      <c r="H28" s="405"/>
      <c r="I28" s="4"/>
    </row>
    <row r="29" spans="1:16" s="1" customFormat="1" ht="14.5" x14ac:dyDescent="0.35">
      <c r="A29" s="242" t="s">
        <v>461</v>
      </c>
      <c r="B29" s="243"/>
      <c r="C29" s="244"/>
      <c r="D29" s="43"/>
      <c r="E29" s="401" t="str">
        <f>IF(D29="","",IF(D29&lt;12,"Does not meet design criteria",""))</f>
        <v/>
      </c>
      <c r="F29" s="402"/>
      <c r="G29" s="402"/>
      <c r="H29" s="405"/>
      <c r="I29" s="4"/>
    </row>
    <row r="30" spans="1:16" ht="15" customHeight="1" x14ac:dyDescent="0.35">
      <c r="A30" s="241" t="s">
        <v>232</v>
      </c>
      <c r="B30" s="241"/>
      <c r="C30" s="241"/>
      <c r="D30" s="241"/>
      <c r="E30" s="241"/>
      <c r="F30" s="241"/>
      <c r="G30" s="241"/>
      <c r="H30" s="241"/>
    </row>
    <row r="31" spans="1:16" s="34" customFormat="1" ht="15" customHeight="1" x14ac:dyDescent="0.3">
      <c r="A31" s="378"/>
      <c r="B31" s="379"/>
      <c r="C31" s="380"/>
      <c r="D31" s="222" t="s">
        <v>256</v>
      </c>
      <c r="E31" s="208" t="s">
        <v>257</v>
      </c>
      <c r="F31" s="375" t="s">
        <v>258</v>
      </c>
      <c r="G31" s="376"/>
      <c r="H31" s="377"/>
      <c r="I31" s="4"/>
      <c r="J31" s="4"/>
      <c r="K31" s="4"/>
      <c r="L31" s="4"/>
      <c r="M31" s="4"/>
      <c r="N31" s="4"/>
      <c r="O31" s="4"/>
      <c r="P31" s="4"/>
    </row>
    <row r="32" spans="1:16" s="1" customFormat="1" ht="14.5" x14ac:dyDescent="0.35">
      <c r="A32" s="266" t="s">
        <v>477</v>
      </c>
      <c r="B32" s="267"/>
      <c r="C32" s="268"/>
      <c r="D32" s="59"/>
      <c r="E32" s="193" t="s">
        <v>2</v>
      </c>
      <c r="F32" s="403" t="str">
        <f>IF(D32="","",IF(D32&lt;0.1*F4,"Does not meet pretreatment criteria",IF(AND(D10="Yes",D11="Yes",D32&lt;F4),"Does not meet design criteria","")))</f>
        <v/>
      </c>
      <c r="G32" s="403"/>
      <c r="H32" s="403"/>
      <c r="I32" s="4"/>
    </row>
    <row r="33" spans="1:9" s="1" customFormat="1" ht="15" customHeight="1" x14ac:dyDescent="0.35">
      <c r="A33" s="266" t="s">
        <v>504</v>
      </c>
      <c r="B33" s="267"/>
      <c r="C33" s="268"/>
      <c r="D33" s="59"/>
      <c r="E33" s="193" t="s">
        <v>2</v>
      </c>
      <c r="F33" s="403" t="str">
        <f>IF(D33="","",IF(D33&lt;0.9*F4,"Does not meet sizing criteria",""))</f>
        <v/>
      </c>
      <c r="G33" s="403"/>
      <c r="H33" s="403"/>
      <c r="I33" s="4"/>
    </row>
    <row r="34" spans="1:9" s="1" customFormat="1" ht="15" customHeight="1" x14ac:dyDescent="0.35">
      <c r="A34" s="266" t="s">
        <v>505</v>
      </c>
      <c r="B34" s="267"/>
      <c r="C34" s="268"/>
      <c r="D34" s="59"/>
      <c r="E34" s="193" t="s">
        <v>271</v>
      </c>
      <c r="F34" s="403" t="str">
        <f>IF(D34="","",IF(D34&lt;15,"Does not meet sizing criteria",""))</f>
        <v/>
      </c>
      <c r="G34" s="403"/>
      <c r="H34" s="403"/>
      <c r="I34" s="4"/>
    </row>
    <row r="35" spans="1:9" s="145" customFormat="1" ht="14.25" customHeight="1" x14ac:dyDescent="0.35">
      <c r="A35" s="390" t="s">
        <v>468</v>
      </c>
      <c r="B35" s="390"/>
      <c r="C35" s="390"/>
      <c r="D35" s="390"/>
      <c r="E35" s="390"/>
      <c r="F35" s="390"/>
      <c r="G35" s="390"/>
      <c r="H35" s="390"/>
    </row>
    <row r="36" spans="1:9" ht="30" customHeight="1" x14ac:dyDescent="0.35">
      <c r="A36" s="398" t="s">
        <v>469</v>
      </c>
      <c r="B36" s="399"/>
      <c r="C36" s="400"/>
      <c r="D36" s="150" t="str">
        <f>IF(F4="","",IF(D7&gt;15,0,IF(AND(D8&gt;0.014,D9="No"),0,IF(AND(D9="No",D10="Yes"),0,IF(AND(D9="No",D11="Yes"),0,IF(AND(D9="Yes",D10="Yes",D12&lt;2),0,IF(AND(D11="Yes",D12&lt;2),0,IF(AND(D11="Yes",D32&lt;F4),0,IF(D14="Yes",0,IF(D15="No",0,IF(D16="No",0,IF(D17="No",0,IF(D18="No",0,IF(D19="No",0,IF(D20&lt;1,0,IF(D21&lt;8,0,IF(D22&lt;3,0,IF(D23&lt;24,0,IF(D24&lt;3,0,IF(D25="No",0,IF(D26="No",0,IF(D27="No",0,IF(D28&gt;15,0,IF(D29&lt;12,0,IF(D32&lt;0.1*F4,0,IF(D33&lt;0.9*F4,0,IF(D34&lt;15,0,F4)))))))))))))))))))))))))))</f>
        <v/>
      </c>
      <c r="E36" s="398" t="s">
        <v>2</v>
      </c>
      <c r="F36" s="399"/>
      <c r="G36" s="399"/>
      <c r="H36" s="400"/>
    </row>
    <row r="37" spans="1:9" ht="13" x14ac:dyDescent="0.35">
      <c r="A37" s="16" t="s">
        <v>56</v>
      </c>
      <c r="B37" s="225" t="str">
        <f>IF('STEP 2-WQv Calculation'!$B$4="","",'STEP 2-WQv Calculation'!$B$4)</f>
        <v/>
      </c>
      <c r="C37" s="199"/>
      <c r="D37" s="199"/>
      <c r="E37" s="199"/>
      <c r="F37" s="199"/>
      <c r="G37" s="199"/>
      <c r="H37" s="199"/>
    </row>
    <row r="38" spans="1:9" ht="13" x14ac:dyDescent="0.35">
      <c r="A38" s="241" t="s">
        <v>293</v>
      </c>
      <c r="B38" s="241"/>
      <c r="C38" s="241"/>
      <c r="D38" s="241"/>
      <c r="E38" s="241"/>
      <c r="F38" s="241"/>
      <c r="G38" s="241"/>
      <c r="H38" s="241"/>
    </row>
    <row r="39" spans="1:9" ht="38.5" x14ac:dyDescent="0.35">
      <c r="A39" s="204" t="s">
        <v>60</v>
      </c>
      <c r="B39" s="205" t="s">
        <v>61</v>
      </c>
      <c r="C39" s="205" t="s">
        <v>62</v>
      </c>
      <c r="D39" s="205" t="s">
        <v>63</v>
      </c>
      <c r="E39" s="205" t="s">
        <v>64</v>
      </c>
      <c r="F39" s="205" t="s">
        <v>65</v>
      </c>
      <c r="G39" s="205" t="s">
        <v>244</v>
      </c>
      <c r="H39" s="206" t="s">
        <v>13</v>
      </c>
    </row>
    <row r="40" spans="1:9" ht="25.5" customHeight="1" x14ac:dyDescent="0.35">
      <c r="A40" s="218"/>
      <c r="B40" s="3" t="str">
        <f>IF($A40="","",(LOOKUP($A40,'STEP 2-WQv Calculation'!$A$8:$A$37,'STEP 2-WQv Calculation'!$B$8:$B$37)))</f>
        <v/>
      </c>
      <c r="C40" s="3" t="str">
        <f>IF($A40="","",(LOOKUP($A40,'STEP 2-WQv Calculation'!$A$8:$A$37,'STEP 2-WQv Calculation'!$C$8:$C$37)))</f>
        <v/>
      </c>
      <c r="D40" s="212" t="str">
        <f>IF($A40="","",(LOOKUP($A40,'STEP 2-WQv Calculation'!$A$8:$A$37,'STEP 2-WQv Calculation'!$D$8:$D$37)))</f>
        <v/>
      </c>
      <c r="E40" s="3" t="str">
        <f>IF($A40="","",(LOOKUP($A40,'STEP 2-WQv Calculation'!$A$8:$A$37,'STEP 2-WQv Calculation'!$E$8:$E$37)))</f>
        <v/>
      </c>
      <c r="F40" s="217" t="str">
        <f>IF($A40="","",(LOOKUP($A40,'STEP 2-WQv Calculation'!$A$8:$A$37,'STEP 2-WQv Calculation'!$F$8:$F$37)))</f>
        <v/>
      </c>
      <c r="G40" s="22">
        <f>'STEP 2-WQv Calculation'!B5</f>
        <v>0</v>
      </c>
      <c r="H40" s="198" t="str">
        <f>IF($A40="","",(LOOKUP($A40,'STEP 2-WQv Calculation'!$A$8:$A$37,'STEP 2-WQv Calculation'!$G$8:$G$37)))</f>
        <v/>
      </c>
    </row>
    <row r="41" spans="1:9" ht="13" x14ac:dyDescent="0.3">
      <c r="A41" s="273" t="s">
        <v>226</v>
      </c>
      <c r="B41" s="273"/>
      <c r="C41" s="273"/>
      <c r="D41" s="273"/>
      <c r="E41" s="273"/>
      <c r="F41" s="273"/>
      <c r="G41" s="273"/>
      <c r="H41" s="273"/>
    </row>
    <row r="42" spans="1:9" x14ac:dyDescent="0.35">
      <c r="A42" s="242" t="s">
        <v>471</v>
      </c>
      <c r="B42" s="243"/>
      <c r="C42" s="244"/>
      <c r="D42" s="211"/>
      <c r="E42" s="401" t="str">
        <f>IF(D42="YES", "A permit is required","")</f>
        <v/>
      </c>
      <c r="F42" s="402"/>
      <c r="G42" s="402"/>
      <c r="H42" s="405"/>
    </row>
    <row r="43" spans="1:9" x14ac:dyDescent="0.35">
      <c r="A43" s="242" t="s">
        <v>472</v>
      </c>
      <c r="B43" s="243"/>
      <c r="C43" s="244"/>
      <c r="D43" s="43"/>
      <c r="E43" s="401" t="str">
        <f>IF(D43&gt;15,"Does not meet feasibility criteria","")</f>
        <v/>
      </c>
      <c r="F43" s="402"/>
      <c r="G43" s="402"/>
      <c r="H43" s="405"/>
    </row>
    <row r="44" spans="1:9" ht="26.25" customHeight="1" x14ac:dyDescent="0.35">
      <c r="A44" s="242" t="s">
        <v>442</v>
      </c>
      <c r="B44" s="243"/>
      <c r="C44" s="244"/>
      <c r="D44" s="43"/>
      <c r="E44" s="401" t="str">
        <f>IF(D44="","If an impermeable liner is provided, enter 0 in/hr",IF(D44&gt;0.014,"Does not meet feasibility criteria, provide an impermeable liner",""))</f>
        <v>If an impermeable liner is provided, enter 0 in/hr</v>
      </c>
      <c r="F44" s="402"/>
      <c r="G44" s="402"/>
      <c r="H44" s="405"/>
    </row>
    <row r="45" spans="1:9" x14ac:dyDescent="0.35">
      <c r="A45" s="242" t="s">
        <v>443</v>
      </c>
      <c r="B45" s="243"/>
      <c r="C45" s="244"/>
      <c r="D45" s="211"/>
      <c r="E45" s="401" t="str">
        <f>IF(AND(D44&gt;0.014,D45="No"),"Does not meet feasibility criteria","")</f>
        <v/>
      </c>
      <c r="F45" s="402"/>
      <c r="G45" s="402"/>
      <c r="H45" s="405"/>
    </row>
    <row r="46" spans="1:9" x14ac:dyDescent="0.35">
      <c r="A46" s="242" t="s">
        <v>473</v>
      </c>
      <c r="B46" s="243"/>
      <c r="C46" s="244"/>
      <c r="D46" s="211"/>
      <c r="E46" s="401" t="str">
        <f>IF(AND(D45="No",D46="Yes"),"Does not meet feasibility criteria","")</f>
        <v/>
      </c>
      <c r="F46" s="402"/>
      <c r="G46" s="402"/>
      <c r="H46" s="405"/>
    </row>
    <row r="47" spans="1:9" x14ac:dyDescent="0.35">
      <c r="A47" s="242" t="s">
        <v>474</v>
      </c>
      <c r="B47" s="243"/>
      <c r="C47" s="244"/>
      <c r="D47" s="211"/>
      <c r="E47" s="401" t="str">
        <f>IF(AND(D45="Yes",D47="Yes"),"Provide 100% pretreatment",IF(AND(D45="No",D47="Yes"),"Does not meet feasibility criteria",""))</f>
        <v/>
      </c>
      <c r="F47" s="402"/>
      <c r="G47" s="402"/>
      <c r="H47" s="405"/>
    </row>
    <row r="48" spans="1:9" x14ac:dyDescent="0.35">
      <c r="A48" s="242" t="s">
        <v>296</v>
      </c>
      <c r="B48" s="243"/>
      <c r="C48" s="244"/>
      <c r="D48" s="43"/>
      <c r="E48" s="401" t="str">
        <f>IF(AND(D45="No",D46="Yes"),"Does not meet feasibility criteria",IF(AND(D45="No",D47="Yes"),"Does not meet feasibility criteria",IF(AND(D45="Yes",D46="Yes",D48&lt;2),"Does not meet feasibility criteria",IF(AND(D45="Yes",D47="Yes",D48&lt;2),"Does not meet feasibility criteria",""))))</f>
        <v/>
      </c>
      <c r="F48" s="402"/>
      <c r="G48" s="402"/>
      <c r="H48" s="405"/>
    </row>
    <row r="49" spans="1:8" ht="25.5" customHeight="1" x14ac:dyDescent="0.35">
      <c r="A49" s="242" t="s">
        <v>711</v>
      </c>
      <c r="B49" s="406"/>
      <c r="C49" s="407"/>
      <c r="D49" s="218"/>
      <c r="E49" s="218"/>
      <c r="F49" s="218"/>
      <c r="G49" s="198" t="s">
        <v>716</v>
      </c>
      <c r="H49" s="198">
        <f>IF($D49="",0,(LOOKUP($D49,'STEP 2-WQv Calculation'!$A$8:$A$37,'STEP 2-WQv Calculation'!$B$8:$B$37)))+IF($E49="",0,(LOOKUP($E49,'STEP 2-WQv Calculation'!$A$8:$A$37,'STEP 2-WQv Calculation'!$B$8:$B$37)))+IF($F49="",0,(LOOKUP($F49,'STEP 2-WQv Calculation'!$A$8:$A$37,'STEP 2-WQv Calculation'!$B$8:$B$37)))</f>
        <v>0</v>
      </c>
    </row>
    <row r="50" spans="1:8" ht="12.75" customHeight="1" x14ac:dyDescent="0.35">
      <c r="A50" s="242" t="s">
        <v>494</v>
      </c>
      <c r="B50" s="243"/>
      <c r="C50" s="244"/>
      <c r="D50" s="227" t="str">
        <f>IF(B40="","",IF((B40+H49)&gt;5,"Yes","No"))</f>
        <v/>
      </c>
      <c r="E50" s="401" t="str">
        <f>IF(D50="Yes","Does not meet feasibility criteria","")</f>
        <v/>
      </c>
      <c r="F50" s="402"/>
      <c r="G50" s="402"/>
      <c r="H50" s="405"/>
    </row>
    <row r="51" spans="1:8" x14ac:dyDescent="0.35">
      <c r="A51" s="242" t="s">
        <v>495</v>
      </c>
      <c r="B51" s="243"/>
      <c r="C51" s="244"/>
      <c r="D51" s="211"/>
      <c r="E51" s="401" t="str">
        <f>IF(D51="No","Does not meet conveyance criteria","")</f>
        <v/>
      </c>
      <c r="F51" s="402"/>
      <c r="G51" s="402"/>
      <c r="H51" s="405"/>
    </row>
    <row r="52" spans="1:8" x14ac:dyDescent="0.35">
      <c r="A52" s="242" t="s">
        <v>496</v>
      </c>
      <c r="B52" s="243"/>
      <c r="C52" s="244"/>
      <c r="D52" s="211"/>
      <c r="E52" s="401" t="str">
        <f>IF(D52="No","Does not meet conveyance criteria","")</f>
        <v/>
      </c>
      <c r="F52" s="402"/>
      <c r="G52" s="402"/>
      <c r="H52" s="405"/>
    </row>
    <row r="53" spans="1:8" x14ac:dyDescent="0.35">
      <c r="A53" s="242" t="s">
        <v>497</v>
      </c>
      <c r="B53" s="243"/>
      <c r="C53" s="244"/>
      <c r="D53" s="211"/>
      <c r="E53" s="401" t="str">
        <f>IF(D53="No","Does not meet conveyance criteria","")</f>
        <v/>
      </c>
      <c r="F53" s="402"/>
      <c r="G53" s="402"/>
      <c r="H53" s="405"/>
    </row>
    <row r="54" spans="1:8" x14ac:dyDescent="0.35">
      <c r="A54" s="242" t="s">
        <v>451</v>
      </c>
      <c r="B54" s="243"/>
      <c r="C54" s="244"/>
      <c r="D54" s="211"/>
      <c r="E54" s="401" t="str">
        <f>IF(D54="No","Does not meet conveyance criteria","")</f>
        <v/>
      </c>
      <c r="F54" s="402"/>
      <c r="G54" s="402"/>
      <c r="H54" s="405"/>
    </row>
    <row r="55" spans="1:8" x14ac:dyDescent="0.35">
      <c r="A55" s="242" t="s">
        <v>476</v>
      </c>
      <c r="B55" s="243"/>
      <c r="C55" s="244"/>
      <c r="D55" s="211"/>
      <c r="E55" s="401" t="str">
        <f>IF(D55="No","Does not meet pretreatment criteria","")</f>
        <v/>
      </c>
      <c r="F55" s="402"/>
      <c r="G55" s="402"/>
      <c r="H55" s="405"/>
    </row>
    <row r="56" spans="1:8" x14ac:dyDescent="0.35">
      <c r="A56" s="242" t="s">
        <v>453</v>
      </c>
      <c r="B56" s="243"/>
      <c r="C56" s="244"/>
      <c r="D56" s="43"/>
      <c r="E56" s="401" t="str">
        <f>IF(D56="","",IF(D56&lt;1,"Does not meet design criteria",""))</f>
        <v/>
      </c>
      <c r="F56" s="402"/>
      <c r="G56" s="402"/>
      <c r="H56" s="405"/>
    </row>
    <row r="57" spans="1:8" x14ac:dyDescent="0.35">
      <c r="A57" s="242" t="s">
        <v>286</v>
      </c>
      <c r="B57" s="243"/>
      <c r="C57" s="244"/>
      <c r="D57" s="43"/>
      <c r="E57" s="401" t="str">
        <f>IF(D57="","",IF(D57&lt;8,"Does not meet design criteria",""))</f>
        <v/>
      </c>
      <c r="F57" s="402"/>
      <c r="G57" s="402"/>
      <c r="H57" s="405"/>
    </row>
    <row r="58" spans="1:8" x14ac:dyDescent="0.35">
      <c r="A58" s="242" t="s">
        <v>498</v>
      </c>
      <c r="B58" s="243"/>
      <c r="C58" s="244"/>
      <c r="D58" s="43"/>
      <c r="E58" s="401" t="str">
        <f>IF(D58="","",IF(D58&lt;3,"Does not meet design criteria",""))</f>
        <v/>
      </c>
      <c r="F58" s="402"/>
      <c r="G58" s="402"/>
      <c r="H58" s="405"/>
    </row>
    <row r="59" spans="1:8" x14ac:dyDescent="0.35">
      <c r="A59" s="242" t="s">
        <v>499</v>
      </c>
      <c r="B59" s="243"/>
      <c r="C59" s="244"/>
      <c r="D59" s="43"/>
      <c r="E59" s="401" t="str">
        <f>IF(D59="","",IF(D59&lt;24,"Does not meet design criteria",""))</f>
        <v/>
      </c>
      <c r="F59" s="402"/>
      <c r="G59" s="402"/>
      <c r="H59" s="405"/>
    </row>
    <row r="60" spans="1:8" x14ac:dyDescent="0.35">
      <c r="A60" s="242" t="s">
        <v>500</v>
      </c>
      <c r="B60" s="243"/>
      <c r="C60" s="244"/>
      <c r="D60" s="43"/>
      <c r="E60" s="401" t="str">
        <f>IF(D60="","",IF(D60&lt;3,"Does not meet design criteria",""))</f>
        <v/>
      </c>
      <c r="F60" s="402"/>
      <c r="G60" s="402"/>
      <c r="H60" s="405"/>
    </row>
    <row r="61" spans="1:8" x14ac:dyDescent="0.35">
      <c r="A61" s="242" t="s">
        <v>501</v>
      </c>
      <c r="B61" s="243"/>
      <c r="C61" s="244"/>
      <c r="D61" s="211"/>
      <c r="E61" s="401" t="str">
        <f>IF(D61="No","Does not meet design criteria","")</f>
        <v/>
      </c>
      <c r="F61" s="402"/>
      <c r="G61" s="402"/>
      <c r="H61" s="405"/>
    </row>
    <row r="62" spans="1:8" x14ac:dyDescent="0.35">
      <c r="A62" s="242" t="s">
        <v>502</v>
      </c>
      <c r="B62" s="243"/>
      <c r="C62" s="244"/>
      <c r="D62" s="211"/>
      <c r="E62" s="401" t="str">
        <f>IF(D62="No","Does not meet design criteria","")</f>
        <v/>
      </c>
      <c r="F62" s="402"/>
      <c r="G62" s="402"/>
      <c r="H62" s="405"/>
    </row>
    <row r="63" spans="1:8" x14ac:dyDescent="0.35">
      <c r="A63" s="242" t="s">
        <v>503</v>
      </c>
      <c r="B63" s="243"/>
      <c r="C63" s="244"/>
      <c r="D63" s="211"/>
      <c r="E63" s="401" t="str">
        <f>IF(D63="No","Does not meet design criteria","")</f>
        <v/>
      </c>
      <c r="F63" s="402"/>
      <c r="G63" s="402"/>
      <c r="H63" s="405"/>
    </row>
    <row r="64" spans="1:8" x14ac:dyDescent="0.35">
      <c r="A64" s="242" t="s">
        <v>460</v>
      </c>
      <c r="B64" s="243"/>
      <c r="C64" s="244"/>
      <c r="D64" s="43"/>
      <c r="E64" s="401" t="str">
        <f>IF(D64&gt;15,"Does not meet design criteria","")</f>
        <v/>
      </c>
      <c r="F64" s="402"/>
      <c r="G64" s="402"/>
      <c r="H64" s="405"/>
    </row>
    <row r="65" spans="1:8" x14ac:dyDescent="0.35">
      <c r="A65" s="242" t="s">
        <v>461</v>
      </c>
      <c r="B65" s="243"/>
      <c r="C65" s="244"/>
      <c r="D65" s="43"/>
      <c r="E65" s="401" t="str">
        <f>IF(D65="","",IF(D65&lt;12,"Does not meet design criteria",""))</f>
        <v/>
      </c>
      <c r="F65" s="402"/>
      <c r="G65" s="402"/>
      <c r="H65" s="405"/>
    </row>
    <row r="66" spans="1:8" ht="13" x14ac:dyDescent="0.35">
      <c r="A66" s="241" t="s">
        <v>232</v>
      </c>
      <c r="B66" s="241"/>
      <c r="C66" s="241"/>
      <c r="D66" s="241"/>
      <c r="E66" s="241"/>
      <c r="F66" s="241"/>
      <c r="G66" s="241"/>
      <c r="H66" s="241"/>
    </row>
    <row r="67" spans="1:8" x14ac:dyDescent="0.35">
      <c r="A67" s="378"/>
      <c r="B67" s="379"/>
      <c r="C67" s="380"/>
      <c r="D67" s="222" t="s">
        <v>256</v>
      </c>
      <c r="E67" s="208" t="s">
        <v>257</v>
      </c>
      <c r="F67" s="375" t="s">
        <v>258</v>
      </c>
      <c r="G67" s="376"/>
      <c r="H67" s="377"/>
    </row>
    <row r="68" spans="1:8" x14ac:dyDescent="0.35">
      <c r="A68" s="266" t="s">
        <v>477</v>
      </c>
      <c r="B68" s="267"/>
      <c r="C68" s="268"/>
      <c r="D68" s="59"/>
      <c r="E68" s="193" t="s">
        <v>2</v>
      </c>
      <c r="F68" s="403" t="str">
        <f>IF(D68="","",IF(D68&lt;0.1*F40,"Does not meet pretreatment criteria",IF(AND(D46="Yes",D47="Yes",D68&lt;F40),"Does not meet design criteria","")))</f>
        <v/>
      </c>
      <c r="G68" s="403"/>
      <c r="H68" s="403"/>
    </row>
    <row r="69" spans="1:8" x14ac:dyDescent="0.35">
      <c r="A69" s="266" t="s">
        <v>504</v>
      </c>
      <c r="B69" s="267"/>
      <c r="C69" s="268"/>
      <c r="D69" s="59"/>
      <c r="E69" s="193" t="s">
        <v>2</v>
      </c>
      <c r="F69" s="403" t="str">
        <f>IF(D69="","",IF(D69&lt;0.9*F40,"Does not meet sizing criteria",""))</f>
        <v/>
      </c>
      <c r="G69" s="403"/>
      <c r="H69" s="403"/>
    </row>
    <row r="70" spans="1:8" x14ac:dyDescent="0.35">
      <c r="A70" s="266" t="s">
        <v>505</v>
      </c>
      <c r="B70" s="267"/>
      <c r="C70" s="268"/>
      <c r="D70" s="59"/>
      <c r="E70" s="193" t="s">
        <v>271</v>
      </c>
      <c r="F70" s="403" t="str">
        <f>IF(D70="","",IF(D70&lt;15,"Does not meet sizing criteria",""))</f>
        <v/>
      </c>
      <c r="G70" s="403"/>
      <c r="H70" s="403"/>
    </row>
    <row r="71" spans="1:8" ht="30" customHeight="1" x14ac:dyDescent="0.35">
      <c r="A71" s="390" t="s">
        <v>468</v>
      </c>
      <c r="B71" s="390"/>
      <c r="C71" s="390"/>
      <c r="D71" s="390"/>
      <c r="E71" s="390"/>
      <c r="F71" s="390"/>
      <c r="G71" s="390"/>
      <c r="H71" s="390"/>
    </row>
    <row r="72" spans="1:8" ht="13" x14ac:dyDescent="0.35">
      <c r="A72" s="398" t="s">
        <v>469</v>
      </c>
      <c r="B72" s="399"/>
      <c r="C72" s="400"/>
      <c r="D72" s="150" t="str">
        <f>IF(F40="","",IF(D43&gt;15,0,IF(AND(D44&gt;0.014,D45="No"),0,IF(AND(D45="No",D46="Yes"),0,IF(AND(D45="No",D47="Yes"),0,IF(AND(D45="Yes",D46="Yes",D48&lt;2),0,IF(AND(D47="Yes",D48&lt;2),0,IF(AND(D47="Yes",D68&lt;F40),0,IF(D50="Yes",0,IF(D51="No",0,IF(D52="No",0,IF(D53="No",0,IF(D54="No",0,IF(D55="No",0,IF(D56&lt;1,0,IF(D57&lt;8,0,IF(D58&lt;3,0,IF(D59&lt;24,0,IF(D60&lt;3,0,IF(D61="No",0,IF(D62="No",0,IF(D63="No",0,IF(D64&gt;15,0,IF(D65&lt;12,0,IF(D68&lt;0.1*F40,0,IF(D69&lt;0.9*F40,0,IF(D70&lt;15,0,F40)))))))))))))))))))))))))))</f>
        <v/>
      </c>
      <c r="E72" s="398" t="s">
        <v>2</v>
      </c>
      <c r="F72" s="399"/>
      <c r="G72" s="399"/>
      <c r="H72" s="400"/>
    </row>
    <row r="73" spans="1:8" ht="13" x14ac:dyDescent="0.35">
      <c r="A73" s="16" t="s">
        <v>56</v>
      </c>
      <c r="B73" s="225" t="str">
        <f>IF('STEP 2-WQv Calculation'!$B$4="","",'STEP 2-WQv Calculation'!$B$4)</f>
        <v/>
      </c>
      <c r="C73" s="199"/>
      <c r="D73" s="199"/>
      <c r="E73" s="199"/>
      <c r="F73" s="199"/>
      <c r="G73" s="199"/>
      <c r="H73" s="199"/>
    </row>
    <row r="74" spans="1:8" ht="13" x14ac:dyDescent="0.35">
      <c r="A74" s="241" t="s">
        <v>293</v>
      </c>
      <c r="B74" s="241"/>
      <c r="C74" s="241"/>
      <c r="D74" s="241"/>
      <c r="E74" s="241"/>
      <c r="F74" s="241"/>
      <c r="G74" s="241"/>
      <c r="H74" s="241"/>
    </row>
    <row r="75" spans="1:8" ht="26.25" customHeight="1" x14ac:dyDescent="0.35">
      <c r="A75" s="204" t="s">
        <v>60</v>
      </c>
      <c r="B75" s="205" t="s">
        <v>61</v>
      </c>
      <c r="C75" s="205" t="s">
        <v>62</v>
      </c>
      <c r="D75" s="205" t="s">
        <v>63</v>
      </c>
      <c r="E75" s="205" t="s">
        <v>64</v>
      </c>
      <c r="F75" s="205" t="s">
        <v>65</v>
      </c>
      <c r="G75" s="205" t="s">
        <v>244</v>
      </c>
      <c r="H75" s="206" t="s">
        <v>13</v>
      </c>
    </row>
    <row r="76" spans="1:8" x14ac:dyDescent="0.35">
      <c r="A76" s="218"/>
      <c r="B76" s="3" t="str">
        <f>IF($A76="","",(LOOKUP($A76,'STEP 2-WQv Calculation'!$A$8:$A$37,'STEP 2-WQv Calculation'!$B$8:$B$37)))</f>
        <v/>
      </c>
      <c r="C76" s="3" t="str">
        <f>IF($A76="","",(LOOKUP($A76,'STEP 2-WQv Calculation'!$A$8:$A$37,'STEP 2-WQv Calculation'!$C$8:$C$37)))</f>
        <v/>
      </c>
      <c r="D76" s="212" t="str">
        <f>IF($A76="","",(LOOKUP($A76,'STEP 2-WQv Calculation'!$A$8:$A$37,'STEP 2-WQv Calculation'!$D$8:$D$37)))</f>
        <v/>
      </c>
      <c r="E76" s="3" t="str">
        <f>IF($A76="","",(LOOKUP($A76,'STEP 2-WQv Calculation'!$A$8:$A$37,'STEP 2-WQv Calculation'!$E$8:$E$37)))</f>
        <v/>
      </c>
      <c r="F76" s="217" t="str">
        <f>IF($A76="","",(LOOKUP($A76,'STEP 2-WQv Calculation'!$A$8:$A$37,'STEP 2-WQv Calculation'!$F$8:$F$37)))</f>
        <v/>
      </c>
      <c r="G76" s="22">
        <f>'STEP 2-WQv Calculation'!B5</f>
        <v>0</v>
      </c>
      <c r="H76" s="198" t="str">
        <f>IF($A76="","",(LOOKUP($A76,'STEP 2-WQv Calculation'!$A$8:$A$37,'STEP 2-WQv Calculation'!$G$8:$G$37)))</f>
        <v/>
      </c>
    </row>
    <row r="77" spans="1:8" ht="13" x14ac:dyDescent="0.3">
      <c r="A77" s="273" t="s">
        <v>226</v>
      </c>
      <c r="B77" s="273"/>
      <c r="C77" s="273"/>
      <c r="D77" s="273"/>
      <c r="E77" s="273"/>
      <c r="F77" s="273"/>
      <c r="G77" s="273"/>
      <c r="H77" s="273"/>
    </row>
    <row r="78" spans="1:8" x14ac:dyDescent="0.35">
      <c r="A78" s="242" t="s">
        <v>471</v>
      </c>
      <c r="B78" s="243"/>
      <c r="C78" s="244"/>
      <c r="D78" s="211"/>
      <c r="E78" s="401" t="str">
        <f>IF(D78="YES", "A permit is required","")</f>
        <v/>
      </c>
      <c r="F78" s="402"/>
      <c r="G78" s="402"/>
      <c r="H78" s="405"/>
    </row>
    <row r="79" spans="1:8" ht="26.25" customHeight="1" x14ac:dyDescent="0.35">
      <c r="A79" s="242" t="s">
        <v>472</v>
      </c>
      <c r="B79" s="243"/>
      <c r="C79" s="244"/>
      <c r="D79" s="43"/>
      <c r="E79" s="401" t="str">
        <f>IF(D79&gt;15,"Does not meet feasibility criteria","")</f>
        <v/>
      </c>
      <c r="F79" s="402"/>
      <c r="G79" s="402"/>
      <c r="H79" s="405"/>
    </row>
    <row r="80" spans="1:8" x14ac:dyDescent="0.35">
      <c r="A80" s="242" t="s">
        <v>442</v>
      </c>
      <c r="B80" s="243"/>
      <c r="C80" s="244"/>
      <c r="D80" s="43"/>
      <c r="E80" s="401" t="str">
        <f>IF(D80="","If an impermeable liner is provided, enter 0 in/hr",IF(D80&gt;0.014,"Does not meet feasibility criteria, provide an impermeable liner",""))</f>
        <v>If an impermeable liner is provided, enter 0 in/hr</v>
      </c>
      <c r="F80" s="402"/>
      <c r="G80" s="402"/>
      <c r="H80" s="405"/>
    </row>
    <row r="81" spans="1:8" x14ac:dyDescent="0.35">
      <c r="A81" s="242" t="s">
        <v>443</v>
      </c>
      <c r="B81" s="243"/>
      <c r="C81" s="244"/>
      <c r="D81" s="211"/>
      <c r="E81" s="401" t="str">
        <f>IF(AND(D80&gt;0.014,D81="No"),"Does not meet feasibility criteria","")</f>
        <v/>
      </c>
      <c r="F81" s="402"/>
      <c r="G81" s="402"/>
      <c r="H81" s="405"/>
    </row>
    <row r="82" spans="1:8" x14ac:dyDescent="0.35">
      <c r="A82" s="242" t="s">
        <v>473</v>
      </c>
      <c r="B82" s="243"/>
      <c r="C82" s="244"/>
      <c r="D82" s="211"/>
      <c r="E82" s="401" t="str">
        <f>IF(AND(D81="No",D82="Yes"),"Does not meet feasibility criteria","")</f>
        <v/>
      </c>
      <c r="F82" s="402"/>
      <c r="G82" s="402"/>
      <c r="H82" s="405"/>
    </row>
    <row r="83" spans="1:8" x14ac:dyDescent="0.35">
      <c r="A83" s="242" t="s">
        <v>474</v>
      </c>
      <c r="B83" s="243"/>
      <c r="C83" s="244"/>
      <c r="D83" s="211"/>
      <c r="E83" s="401" t="str">
        <f>IF(AND(D81="Yes",D83="Yes"),"Provide 100% pretreatment",IF(AND(D81="No",D83="Yes"),"Does not meet feasibility criteria",""))</f>
        <v/>
      </c>
      <c r="F83" s="402"/>
      <c r="G83" s="402"/>
      <c r="H83" s="405"/>
    </row>
    <row r="84" spans="1:8" x14ac:dyDescent="0.35">
      <c r="A84" s="242" t="s">
        <v>296</v>
      </c>
      <c r="B84" s="243"/>
      <c r="C84" s="244"/>
      <c r="D84" s="43"/>
      <c r="E84" s="401" t="str">
        <f>IF(AND(D81="No",D82="Yes"),"Does not meet feasibility criteria",IF(AND(D81="No",D83="Yes"),"Does not meet feasibility criteria",IF(AND(D81="Yes",D82="Yes",D84&lt;2),"Does not meet feasibility criteria",IF(AND(D81="Yes",D83="Yes",D84&lt;2),"Does not meet feasibility criteria",""))))</f>
        <v/>
      </c>
      <c r="F84" s="402"/>
      <c r="G84" s="402"/>
      <c r="H84" s="405"/>
    </row>
    <row r="85" spans="1:8" ht="25.5" customHeight="1" x14ac:dyDescent="0.35">
      <c r="A85" s="242" t="s">
        <v>711</v>
      </c>
      <c r="B85" s="406"/>
      <c r="C85" s="407"/>
      <c r="D85" s="218"/>
      <c r="E85" s="218"/>
      <c r="F85" s="218"/>
      <c r="G85" s="198" t="s">
        <v>716</v>
      </c>
      <c r="H85" s="198">
        <f>IF($D85="",0,(LOOKUP($D85,'STEP 2-WQv Calculation'!$A$8:$A$37,'STEP 2-WQv Calculation'!$B$8:$B$37)))+IF($E85="",0,(LOOKUP($E85,'STEP 2-WQv Calculation'!$A$8:$A$37,'STEP 2-WQv Calculation'!$B$8:$B$37)))+IF($F85="",0,(LOOKUP($F85,'STEP 2-WQv Calculation'!$A$8:$A$37,'STEP 2-WQv Calculation'!$B$8:$B$37)))</f>
        <v>0</v>
      </c>
    </row>
    <row r="86" spans="1:8" ht="12.75" customHeight="1" x14ac:dyDescent="0.35">
      <c r="A86" s="242" t="s">
        <v>494</v>
      </c>
      <c r="B86" s="243"/>
      <c r="C86" s="244"/>
      <c r="D86" s="227" t="str">
        <f>IF(B76="","",IF((B76+H85)&gt;5,"Yes","No"))</f>
        <v/>
      </c>
      <c r="E86" s="401" t="str">
        <f>IF(D86="Yes","Does not meet feasibility criteria","")</f>
        <v/>
      </c>
      <c r="F86" s="402"/>
      <c r="G86" s="402"/>
      <c r="H86" s="405"/>
    </row>
    <row r="87" spans="1:8" x14ac:dyDescent="0.35">
      <c r="A87" s="242" t="s">
        <v>495</v>
      </c>
      <c r="B87" s="243"/>
      <c r="C87" s="244"/>
      <c r="D87" s="211"/>
      <c r="E87" s="401" t="str">
        <f>IF(D87="No","Does not meet conveyance criteria","")</f>
        <v/>
      </c>
      <c r="F87" s="402"/>
      <c r="G87" s="402"/>
      <c r="H87" s="405"/>
    </row>
    <row r="88" spans="1:8" x14ac:dyDescent="0.35">
      <c r="A88" s="242" t="s">
        <v>496</v>
      </c>
      <c r="B88" s="243"/>
      <c r="C88" s="244"/>
      <c r="D88" s="211"/>
      <c r="E88" s="401" t="str">
        <f>IF(D88="No","Does not meet conveyance criteria","")</f>
        <v/>
      </c>
      <c r="F88" s="402"/>
      <c r="G88" s="402"/>
      <c r="H88" s="405"/>
    </row>
    <row r="89" spans="1:8" x14ac:dyDescent="0.35">
      <c r="A89" s="242" t="s">
        <v>497</v>
      </c>
      <c r="B89" s="243"/>
      <c r="C89" s="244"/>
      <c r="D89" s="211"/>
      <c r="E89" s="401" t="str">
        <f>IF(D89="No","Does not meet conveyance criteria","")</f>
        <v/>
      </c>
      <c r="F89" s="402"/>
      <c r="G89" s="402"/>
      <c r="H89" s="405"/>
    </row>
    <row r="90" spans="1:8" x14ac:dyDescent="0.35">
      <c r="A90" s="242" t="s">
        <v>451</v>
      </c>
      <c r="B90" s="243"/>
      <c r="C90" s="244"/>
      <c r="D90" s="211"/>
      <c r="E90" s="401" t="str">
        <f>IF(D90="No","Does not meet conveyance criteria","")</f>
        <v/>
      </c>
      <c r="F90" s="402"/>
      <c r="G90" s="402"/>
      <c r="H90" s="405"/>
    </row>
    <row r="91" spans="1:8" x14ac:dyDescent="0.35">
      <c r="A91" s="242" t="s">
        <v>476</v>
      </c>
      <c r="B91" s="243"/>
      <c r="C91" s="244"/>
      <c r="D91" s="211"/>
      <c r="E91" s="401" t="str">
        <f>IF(D91="No","Does not meet pretreatment criteria","")</f>
        <v/>
      </c>
      <c r="F91" s="402"/>
      <c r="G91" s="402"/>
      <c r="H91" s="405"/>
    </row>
    <row r="92" spans="1:8" x14ac:dyDescent="0.35">
      <c r="A92" s="242" t="s">
        <v>453</v>
      </c>
      <c r="B92" s="243"/>
      <c r="C92" s="244"/>
      <c r="D92" s="43"/>
      <c r="E92" s="401" t="str">
        <f>IF(D92="","",IF(D92&lt;1,"Does not meet design criteria",""))</f>
        <v/>
      </c>
      <c r="F92" s="402"/>
      <c r="G92" s="402"/>
      <c r="H92" s="405"/>
    </row>
    <row r="93" spans="1:8" x14ac:dyDescent="0.35">
      <c r="A93" s="242" t="s">
        <v>286</v>
      </c>
      <c r="B93" s="243"/>
      <c r="C93" s="244"/>
      <c r="D93" s="43"/>
      <c r="E93" s="401" t="str">
        <f>IF(D93="","",IF(D93&lt;8,"Does not meet design criteria",""))</f>
        <v/>
      </c>
      <c r="F93" s="402"/>
      <c r="G93" s="402"/>
      <c r="H93" s="405"/>
    </row>
    <row r="94" spans="1:8" x14ac:dyDescent="0.35">
      <c r="A94" s="242" t="s">
        <v>498</v>
      </c>
      <c r="B94" s="243"/>
      <c r="C94" s="244"/>
      <c r="D94" s="43"/>
      <c r="E94" s="401" t="str">
        <f>IF(D94="","",IF(D94&lt;3,"Does not meet design criteria",""))</f>
        <v/>
      </c>
      <c r="F94" s="402"/>
      <c r="G94" s="402"/>
      <c r="H94" s="405"/>
    </row>
    <row r="95" spans="1:8" x14ac:dyDescent="0.35">
      <c r="A95" s="242" t="s">
        <v>499</v>
      </c>
      <c r="B95" s="243"/>
      <c r="C95" s="244"/>
      <c r="D95" s="43"/>
      <c r="E95" s="401" t="str">
        <f>IF(D95="","",IF(D95&lt;24,"Does not meet design criteria",""))</f>
        <v/>
      </c>
      <c r="F95" s="402"/>
      <c r="G95" s="402"/>
      <c r="H95" s="405"/>
    </row>
    <row r="96" spans="1:8" x14ac:dyDescent="0.35">
      <c r="A96" s="242" t="s">
        <v>500</v>
      </c>
      <c r="B96" s="243"/>
      <c r="C96" s="244"/>
      <c r="D96" s="43"/>
      <c r="E96" s="401" t="str">
        <f>IF(D96="","",IF(D96&lt;3,"Does not meet design criteria",""))</f>
        <v/>
      </c>
      <c r="F96" s="402"/>
      <c r="G96" s="402"/>
      <c r="H96" s="405"/>
    </row>
    <row r="97" spans="1:8" x14ac:dyDescent="0.35">
      <c r="A97" s="242" t="s">
        <v>501</v>
      </c>
      <c r="B97" s="243"/>
      <c r="C97" s="244"/>
      <c r="D97" s="211"/>
      <c r="E97" s="401" t="str">
        <f>IF(D97="No","Does not meet design criteria","")</f>
        <v/>
      </c>
      <c r="F97" s="402"/>
      <c r="G97" s="402"/>
      <c r="H97" s="405"/>
    </row>
    <row r="98" spans="1:8" x14ac:dyDescent="0.35">
      <c r="A98" s="242" t="s">
        <v>502</v>
      </c>
      <c r="B98" s="243"/>
      <c r="C98" s="244"/>
      <c r="D98" s="211"/>
      <c r="E98" s="401" t="str">
        <f>IF(D98="No","Does not meet design criteria","")</f>
        <v/>
      </c>
      <c r="F98" s="402"/>
      <c r="G98" s="402"/>
      <c r="H98" s="405"/>
    </row>
    <row r="99" spans="1:8" x14ac:dyDescent="0.35">
      <c r="A99" s="242" t="s">
        <v>503</v>
      </c>
      <c r="B99" s="243"/>
      <c r="C99" s="244"/>
      <c r="D99" s="211"/>
      <c r="E99" s="401" t="str">
        <f>IF(D99="No","Does not meet design criteria","")</f>
        <v/>
      </c>
      <c r="F99" s="402"/>
      <c r="G99" s="402"/>
      <c r="H99" s="405"/>
    </row>
    <row r="100" spans="1:8" x14ac:dyDescent="0.35">
      <c r="A100" s="242" t="s">
        <v>460</v>
      </c>
      <c r="B100" s="243"/>
      <c r="C100" s="244"/>
      <c r="D100" s="43"/>
      <c r="E100" s="401" t="str">
        <f>IF(D100&gt;15,"Does not meet design criteria","")</f>
        <v/>
      </c>
      <c r="F100" s="402"/>
      <c r="G100" s="402"/>
      <c r="H100" s="405"/>
    </row>
    <row r="101" spans="1:8" x14ac:dyDescent="0.35">
      <c r="A101" s="242" t="s">
        <v>461</v>
      </c>
      <c r="B101" s="243"/>
      <c r="C101" s="244"/>
      <c r="D101" s="43"/>
      <c r="E101" s="401" t="str">
        <f>IF(D101="","",IF(D101&lt;12,"Does not meet design criteria",""))</f>
        <v/>
      </c>
      <c r="F101" s="402"/>
      <c r="G101" s="402"/>
      <c r="H101" s="405"/>
    </row>
    <row r="102" spans="1:8" ht="13" x14ac:dyDescent="0.35">
      <c r="A102" s="241" t="s">
        <v>232</v>
      </c>
      <c r="B102" s="241"/>
      <c r="C102" s="241"/>
      <c r="D102" s="241"/>
      <c r="E102" s="241"/>
      <c r="F102" s="241"/>
      <c r="G102" s="241"/>
      <c r="H102" s="241"/>
    </row>
    <row r="103" spans="1:8" x14ac:dyDescent="0.35">
      <c r="A103" s="378"/>
      <c r="B103" s="379"/>
      <c r="C103" s="380"/>
      <c r="D103" s="222" t="s">
        <v>256</v>
      </c>
      <c r="E103" s="208" t="s">
        <v>257</v>
      </c>
      <c r="F103" s="375" t="s">
        <v>258</v>
      </c>
      <c r="G103" s="376"/>
      <c r="H103" s="377"/>
    </row>
    <row r="104" spans="1:8" x14ac:dyDescent="0.35">
      <c r="A104" s="266" t="s">
        <v>477</v>
      </c>
      <c r="B104" s="267"/>
      <c r="C104" s="268"/>
      <c r="D104" s="59"/>
      <c r="E104" s="193" t="s">
        <v>2</v>
      </c>
      <c r="F104" s="403" t="str">
        <f>IF(D104="","",IF(D104&lt;0.1*F76,"Does not meet pretreatment criteria",IF(AND(D82="Yes",D83="Yes",D104&lt;F76),"Does not meet design criteria","")))</f>
        <v/>
      </c>
      <c r="G104" s="403"/>
      <c r="H104" s="403"/>
    </row>
    <row r="105" spans="1:8" x14ac:dyDescent="0.35">
      <c r="A105" s="266" t="s">
        <v>504</v>
      </c>
      <c r="B105" s="267"/>
      <c r="C105" s="268"/>
      <c r="D105" s="59"/>
      <c r="E105" s="193" t="s">
        <v>2</v>
      </c>
      <c r="F105" s="403" t="str">
        <f>IF(D105="","",IF(D105&lt;0.9*F76,"Does not meet sizing criteria",""))</f>
        <v/>
      </c>
      <c r="G105" s="403"/>
      <c r="H105" s="403"/>
    </row>
    <row r="106" spans="1:8" ht="30" customHeight="1" x14ac:dyDescent="0.35">
      <c r="A106" s="266" t="s">
        <v>505</v>
      </c>
      <c r="B106" s="267"/>
      <c r="C106" s="268"/>
      <c r="D106" s="59"/>
      <c r="E106" s="193" t="s">
        <v>271</v>
      </c>
      <c r="F106" s="403" t="str">
        <f>IF(D106="","",IF(D106&lt;15,"Does not meet sizing criteria",""))</f>
        <v/>
      </c>
      <c r="G106" s="403"/>
      <c r="H106" s="403"/>
    </row>
    <row r="107" spans="1:8" ht="13" x14ac:dyDescent="0.35">
      <c r="A107" s="390" t="s">
        <v>468</v>
      </c>
      <c r="B107" s="390"/>
      <c r="C107" s="390"/>
      <c r="D107" s="390"/>
      <c r="E107" s="390"/>
      <c r="F107" s="390"/>
      <c r="G107" s="390"/>
      <c r="H107" s="390"/>
    </row>
    <row r="108" spans="1:8" ht="13" x14ac:dyDescent="0.35">
      <c r="A108" s="398" t="s">
        <v>469</v>
      </c>
      <c r="B108" s="399"/>
      <c r="C108" s="400"/>
      <c r="D108" s="150" t="str">
        <f>IF(F76="","",IF(D79&gt;15,0,IF(AND(D80&gt;0.014,D81="No"),0,IF(AND(D81="No",D82="Yes"),0,IF(AND(D81="No",D83="Yes"),0,IF(AND(D81="Yes",D82="Yes",D84&lt;2),0,IF(AND(D83="Yes",D84&lt;2),0,IF(AND(D83="Yes",D104&lt;F76),0,IF(D86="Yes",0,IF(D87="No",0,IF(D88="No",0,IF(D89="No",0,IF(D90="No",0,IF(D91="No",0,IF(D92&lt;1,0,IF(D93&lt;8,0,IF(D94&lt;3,0,IF(D95&lt;24,0,IF(D96&lt;3,0,IF(D97="No",0,IF(D98="No",0,IF(D99="No",0,IF(D100&gt;15,0,IF(D101&lt;12,0,IF(D104&lt;0.1*F76,0,IF(D105&lt;0.9*F76,0,IF(D106&lt;15,0,F76)))))))))))))))))))))))))))</f>
        <v/>
      </c>
      <c r="E108" s="398" t="s">
        <v>2</v>
      </c>
      <c r="F108" s="399"/>
      <c r="G108" s="399"/>
      <c r="H108" s="400"/>
    </row>
    <row r="109" spans="1:8" ht="13" x14ac:dyDescent="0.35">
      <c r="A109" s="16" t="s">
        <v>56</v>
      </c>
      <c r="B109" s="225" t="str">
        <f>IF('STEP 2-WQv Calculation'!$B$4="","",'STEP 2-WQv Calculation'!$B$4)</f>
        <v/>
      </c>
      <c r="C109" s="199"/>
      <c r="D109" s="199"/>
      <c r="E109" s="199"/>
      <c r="F109" s="199"/>
      <c r="G109" s="199"/>
      <c r="H109" s="199"/>
    </row>
    <row r="110" spans="1:8" ht="26.25" customHeight="1" x14ac:dyDescent="0.35">
      <c r="A110" s="241" t="s">
        <v>293</v>
      </c>
      <c r="B110" s="241"/>
      <c r="C110" s="241"/>
      <c r="D110" s="241"/>
      <c r="E110" s="241"/>
      <c r="F110" s="241"/>
      <c r="G110" s="241"/>
      <c r="H110" s="241"/>
    </row>
    <row r="111" spans="1:8" ht="38.5" x14ac:dyDescent="0.35">
      <c r="A111" s="204" t="s">
        <v>60</v>
      </c>
      <c r="B111" s="205" t="s">
        <v>61</v>
      </c>
      <c r="C111" s="205" t="s">
        <v>62</v>
      </c>
      <c r="D111" s="205" t="s">
        <v>63</v>
      </c>
      <c r="E111" s="205" t="s">
        <v>64</v>
      </c>
      <c r="F111" s="205" t="s">
        <v>65</v>
      </c>
      <c r="G111" s="205" t="s">
        <v>244</v>
      </c>
      <c r="H111" s="206" t="s">
        <v>13</v>
      </c>
    </row>
    <row r="112" spans="1:8" x14ac:dyDescent="0.35">
      <c r="A112" s="218"/>
      <c r="B112" s="3" t="str">
        <f>IF($A112="","",(LOOKUP($A112,'STEP 2-WQv Calculation'!$A$8:$A$37,'STEP 2-WQv Calculation'!$B$8:$B$37)))</f>
        <v/>
      </c>
      <c r="C112" s="3" t="str">
        <f>IF($A112="","",(LOOKUP($A112,'STEP 2-WQv Calculation'!$A$8:$A$37,'STEP 2-WQv Calculation'!$C$8:$C$37)))</f>
        <v/>
      </c>
      <c r="D112" s="212" t="str">
        <f>IF($A112="","",(LOOKUP($A112,'STEP 2-WQv Calculation'!$A$8:$A$37,'STEP 2-WQv Calculation'!$D$8:$D$37)))</f>
        <v/>
      </c>
      <c r="E112" s="3" t="str">
        <f>IF($A112="","",(LOOKUP($A112,'STEP 2-WQv Calculation'!$A$8:$A$37,'STEP 2-WQv Calculation'!$E$8:$E$37)))</f>
        <v/>
      </c>
      <c r="F112" s="217" t="str">
        <f>IF($A112="","",(LOOKUP($A112,'STEP 2-WQv Calculation'!$A$8:$A$37,'STEP 2-WQv Calculation'!$F$8:$F$37)))</f>
        <v/>
      </c>
      <c r="G112" s="22">
        <f>'STEP 2-WQv Calculation'!B5</f>
        <v>0</v>
      </c>
      <c r="H112" s="198" t="str">
        <f>IF($A112="","",(LOOKUP($A112,'STEP 2-WQv Calculation'!$A$8:$A$37,'STEP 2-WQv Calculation'!$G$8:$G$37)))</f>
        <v/>
      </c>
    </row>
    <row r="113" spans="1:8" ht="13" x14ac:dyDescent="0.3">
      <c r="A113" s="273" t="s">
        <v>226</v>
      </c>
      <c r="B113" s="273"/>
      <c r="C113" s="273"/>
      <c r="D113" s="273"/>
      <c r="E113" s="273"/>
      <c r="F113" s="273"/>
      <c r="G113" s="273"/>
      <c r="H113" s="273"/>
    </row>
    <row r="114" spans="1:8" ht="25.5" customHeight="1" x14ac:dyDescent="0.35">
      <c r="A114" s="242" t="s">
        <v>471</v>
      </c>
      <c r="B114" s="243"/>
      <c r="C114" s="244"/>
      <c r="D114" s="211"/>
      <c r="E114" s="401" t="str">
        <f>IF(D114="YES", "A permit is required","")</f>
        <v/>
      </c>
      <c r="F114" s="402"/>
      <c r="G114" s="402"/>
      <c r="H114" s="405"/>
    </row>
    <row r="115" spans="1:8" x14ac:dyDescent="0.35">
      <c r="A115" s="242" t="s">
        <v>472</v>
      </c>
      <c r="B115" s="243"/>
      <c r="C115" s="244"/>
      <c r="D115" s="43"/>
      <c r="E115" s="401" t="str">
        <f>IF(D115&gt;15,"Does not meet feasibility criteria","")</f>
        <v/>
      </c>
      <c r="F115" s="402"/>
      <c r="G115" s="402"/>
      <c r="H115" s="405"/>
    </row>
    <row r="116" spans="1:8" x14ac:dyDescent="0.35">
      <c r="A116" s="242" t="s">
        <v>442</v>
      </c>
      <c r="B116" s="243"/>
      <c r="C116" s="244"/>
      <c r="D116" s="43"/>
      <c r="E116" s="401" t="str">
        <f>IF(D116="","If an impermeable liner is provided, enter 0 in/hr",IF(D116&gt;0.014,"Does not meet feasibility criteria, provide an impermeable liner",""))</f>
        <v>If an impermeable liner is provided, enter 0 in/hr</v>
      </c>
      <c r="F116" s="402"/>
      <c r="G116" s="402"/>
      <c r="H116" s="405"/>
    </row>
    <row r="117" spans="1:8" x14ac:dyDescent="0.35">
      <c r="A117" s="242" t="s">
        <v>443</v>
      </c>
      <c r="B117" s="243"/>
      <c r="C117" s="244"/>
      <c r="D117" s="211"/>
      <c r="E117" s="401" t="str">
        <f>IF(AND(D116&gt;0.014,D117="No"),"Does not meet feasibility criteria","")</f>
        <v/>
      </c>
      <c r="F117" s="402"/>
      <c r="G117" s="402"/>
      <c r="H117" s="405"/>
    </row>
    <row r="118" spans="1:8" x14ac:dyDescent="0.35">
      <c r="A118" s="242" t="s">
        <v>473</v>
      </c>
      <c r="B118" s="243"/>
      <c r="C118" s="244"/>
      <c r="D118" s="211"/>
      <c r="E118" s="401" t="str">
        <f>IF(AND(D117="No",D118="Yes"),"Does not meet feasibility criteria","")</f>
        <v/>
      </c>
      <c r="F118" s="402"/>
      <c r="G118" s="402"/>
      <c r="H118" s="405"/>
    </row>
    <row r="119" spans="1:8" x14ac:dyDescent="0.35">
      <c r="A119" s="242" t="s">
        <v>474</v>
      </c>
      <c r="B119" s="243"/>
      <c r="C119" s="244"/>
      <c r="D119" s="211"/>
      <c r="E119" s="401" t="str">
        <f>IF(AND(D117="Yes",D119="Yes"),"Provide 100% pretreatment",IF(AND(D117="No",D119="Yes"),"Does not meet feasibility criteria",""))</f>
        <v/>
      </c>
      <c r="F119" s="402"/>
      <c r="G119" s="402"/>
      <c r="H119" s="405"/>
    </row>
    <row r="120" spans="1:8" x14ac:dyDescent="0.35">
      <c r="A120" s="242" t="s">
        <v>296</v>
      </c>
      <c r="B120" s="243"/>
      <c r="C120" s="244"/>
      <c r="D120" s="43"/>
      <c r="E120" s="401" t="str">
        <f>IF(AND(D117="No",D118="Yes"),"Does not meet feasibility criteria",IF(AND(D117="No",D119="Yes"),"Does not meet feasibility criteria",IF(AND(D117="Yes",D118="Yes",D120&lt;2),"Does not meet feasibility criteria",IF(AND(D117="Yes",D119="Yes",D120&lt;2),"Does not meet feasibility criteria",""))))</f>
        <v/>
      </c>
      <c r="F120" s="402"/>
      <c r="G120" s="402"/>
      <c r="H120" s="405"/>
    </row>
    <row r="121" spans="1:8" ht="24.75" customHeight="1" x14ac:dyDescent="0.35">
      <c r="A121" s="242" t="s">
        <v>711</v>
      </c>
      <c r="B121" s="406"/>
      <c r="C121" s="407"/>
      <c r="D121" s="218"/>
      <c r="E121" s="218"/>
      <c r="F121" s="218"/>
      <c r="G121" s="198" t="s">
        <v>716</v>
      </c>
      <c r="H121" s="198">
        <f>IF($D121="",0,(LOOKUP($D121,'STEP 2-WQv Calculation'!$A$8:$A$37,'STEP 2-WQv Calculation'!$B$8:$B$37)))+IF($E121="",0,(LOOKUP($E121,'STEP 2-WQv Calculation'!$A$8:$A$37,'STEP 2-WQv Calculation'!$B$8:$B$37)))+IF($F121="",0,(LOOKUP($F121,'STEP 2-WQv Calculation'!$A$8:$A$37,'STEP 2-WQv Calculation'!$B$8:$B$37)))</f>
        <v>0</v>
      </c>
    </row>
    <row r="122" spans="1:8" ht="12.75" customHeight="1" x14ac:dyDescent="0.35">
      <c r="A122" s="242" t="s">
        <v>494</v>
      </c>
      <c r="B122" s="243"/>
      <c r="C122" s="244"/>
      <c r="D122" s="227" t="str">
        <f>IF(B112="","",IF((B112+H121)&gt;5,"Yes","No"))</f>
        <v/>
      </c>
      <c r="E122" s="401" t="str">
        <f>IF(D122="Yes","Does not meet feasibility criteria","")</f>
        <v/>
      </c>
      <c r="F122" s="402"/>
      <c r="G122" s="402"/>
      <c r="H122" s="405"/>
    </row>
    <row r="123" spans="1:8" x14ac:dyDescent="0.35">
      <c r="A123" s="242" t="s">
        <v>495</v>
      </c>
      <c r="B123" s="243"/>
      <c r="C123" s="244"/>
      <c r="D123" s="211"/>
      <c r="E123" s="401" t="str">
        <f>IF(D123="No","Does not meet conveyance criteria","")</f>
        <v/>
      </c>
      <c r="F123" s="402"/>
      <c r="G123" s="402"/>
      <c r="H123" s="405"/>
    </row>
    <row r="124" spans="1:8" x14ac:dyDescent="0.35">
      <c r="A124" s="242" t="s">
        <v>496</v>
      </c>
      <c r="B124" s="243"/>
      <c r="C124" s="244"/>
      <c r="D124" s="211"/>
      <c r="E124" s="401" t="str">
        <f>IF(D124="No","Does not meet conveyance criteria","")</f>
        <v/>
      </c>
      <c r="F124" s="402"/>
      <c r="G124" s="402"/>
      <c r="H124" s="405"/>
    </row>
    <row r="125" spans="1:8" x14ac:dyDescent="0.35">
      <c r="A125" s="242" t="s">
        <v>497</v>
      </c>
      <c r="B125" s="243"/>
      <c r="C125" s="244"/>
      <c r="D125" s="211"/>
      <c r="E125" s="401" t="str">
        <f>IF(D125="No","Does not meet conveyance criteria","")</f>
        <v/>
      </c>
      <c r="F125" s="402"/>
      <c r="G125" s="402"/>
      <c r="H125" s="405"/>
    </row>
    <row r="126" spans="1:8" x14ac:dyDescent="0.35">
      <c r="A126" s="242" t="s">
        <v>451</v>
      </c>
      <c r="B126" s="243"/>
      <c r="C126" s="244"/>
      <c r="D126" s="211"/>
      <c r="E126" s="401" t="str">
        <f>IF(D126="No","Does not meet conveyance criteria","")</f>
        <v/>
      </c>
      <c r="F126" s="402"/>
      <c r="G126" s="402"/>
      <c r="H126" s="405"/>
    </row>
    <row r="127" spans="1:8" x14ac:dyDescent="0.35">
      <c r="A127" s="242" t="s">
        <v>476</v>
      </c>
      <c r="B127" s="243"/>
      <c r="C127" s="244"/>
      <c r="D127" s="211"/>
      <c r="E127" s="401" t="str">
        <f>IF(D127="No","Does not meet pretreatment criteria","")</f>
        <v/>
      </c>
      <c r="F127" s="402"/>
      <c r="G127" s="402"/>
      <c r="H127" s="405"/>
    </row>
    <row r="128" spans="1:8" x14ac:dyDescent="0.35">
      <c r="A128" s="242" t="s">
        <v>453</v>
      </c>
      <c r="B128" s="243"/>
      <c r="C128" s="244"/>
      <c r="D128" s="43"/>
      <c r="E128" s="401" t="str">
        <f>IF(D128="","",IF(D128&lt;1,"Does not meet design criteria",""))</f>
        <v/>
      </c>
      <c r="F128" s="402"/>
      <c r="G128" s="402"/>
      <c r="H128" s="405"/>
    </row>
    <row r="129" spans="1:8" x14ac:dyDescent="0.35">
      <c r="A129" s="242" t="s">
        <v>286</v>
      </c>
      <c r="B129" s="243"/>
      <c r="C129" s="244"/>
      <c r="D129" s="43"/>
      <c r="E129" s="401" t="str">
        <f>IF(D129="","",IF(D129&lt;8,"Does not meet design criteria",""))</f>
        <v/>
      </c>
      <c r="F129" s="402"/>
      <c r="G129" s="402"/>
      <c r="H129" s="405"/>
    </row>
    <row r="130" spans="1:8" x14ac:dyDescent="0.35">
      <c r="A130" s="242" t="s">
        <v>498</v>
      </c>
      <c r="B130" s="243"/>
      <c r="C130" s="244"/>
      <c r="D130" s="43"/>
      <c r="E130" s="401" t="str">
        <f>IF(D130="","",IF(D130&lt;3,"Does not meet design criteria",""))</f>
        <v/>
      </c>
      <c r="F130" s="402"/>
      <c r="G130" s="402"/>
      <c r="H130" s="405"/>
    </row>
    <row r="131" spans="1:8" x14ac:dyDescent="0.35">
      <c r="A131" s="242" t="s">
        <v>499</v>
      </c>
      <c r="B131" s="243"/>
      <c r="C131" s="244"/>
      <c r="D131" s="43"/>
      <c r="E131" s="401" t="str">
        <f>IF(D131="","",IF(D131&lt;24,"Does not meet design criteria",""))</f>
        <v/>
      </c>
      <c r="F131" s="402"/>
      <c r="G131" s="402"/>
      <c r="H131" s="405"/>
    </row>
    <row r="132" spans="1:8" x14ac:dyDescent="0.35">
      <c r="A132" s="242" t="s">
        <v>500</v>
      </c>
      <c r="B132" s="243"/>
      <c r="C132" s="244"/>
      <c r="D132" s="43"/>
      <c r="E132" s="401" t="str">
        <f>IF(D132="","",IF(D132&lt;3,"Does not meet design criteria",""))</f>
        <v/>
      </c>
      <c r="F132" s="402"/>
      <c r="G132" s="402"/>
      <c r="H132" s="405"/>
    </row>
    <row r="133" spans="1:8" x14ac:dyDescent="0.35">
      <c r="A133" s="242" t="s">
        <v>501</v>
      </c>
      <c r="B133" s="243"/>
      <c r="C133" s="244"/>
      <c r="D133" s="211"/>
      <c r="E133" s="401" t="str">
        <f>IF(D133="No","Does not meet design criteria","")</f>
        <v/>
      </c>
      <c r="F133" s="402"/>
      <c r="G133" s="402"/>
      <c r="H133" s="405"/>
    </row>
    <row r="134" spans="1:8" x14ac:dyDescent="0.35">
      <c r="A134" s="242" t="s">
        <v>502</v>
      </c>
      <c r="B134" s="243"/>
      <c r="C134" s="244"/>
      <c r="D134" s="211"/>
      <c r="E134" s="401" t="str">
        <f>IF(D134="No","Does not meet design criteria","")</f>
        <v/>
      </c>
      <c r="F134" s="402"/>
      <c r="G134" s="402"/>
      <c r="H134" s="405"/>
    </row>
    <row r="135" spans="1:8" x14ac:dyDescent="0.35">
      <c r="A135" s="242" t="s">
        <v>503</v>
      </c>
      <c r="B135" s="243"/>
      <c r="C135" s="244"/>
      <c r="D135" s="211"/>
      <c r="E135" s="401" t="str">
        <f>IF(D135="No","Does not meet design criteria","")</f>
        <v/>
      </c>
      <c r="F135" s="402"/>
      <c r="G135" s="402"/>
      <c r="H135" s="405"/>
    </row>
    <row r="136" spans="1:8" x14ac:dyDescent="0.35">
      <c r="A136" s="242" t="s">
        <v>460</v>
      </c>
      <c r="B136" s="243"/>
      <c r="C136" s="244"/>
      <c r="D136" s="43"/>
      <c r="E136" s="401" t="str">
        <f>IF(D136&gt;15,"Does not meet design criteria","")</f>
        <v/>
      </c>
      <c r="F136" s="402"/>
      <c r="G136" s="402"/>
      <c r="H136" s="405"/>
    </row>
    <row r="137" spans="1:8" x14ac:dyDescent="0.35">
      <c r="A137" s="242" t="s">
        <v>461</v>
      </c>
      <c r="B137" s="243"/>
      <c r="C137" s="244"/>
      <c r="D137" s="43"/>
      <c r="E137" s="401" t="str">
        <f>IF(D137="","",IF(D137&lt;12,"Does not meet design criteria",""))</f>
        <v/>
      </c>
      <c r="F137" s="402"/>
      <c r="G137" s="402"/>
      <c r="H137" s="405"/>
    </row>
    <row r="138" spans="1:8" ht="13" x14ac:dyDescent="0.35">
      <c r="A138" s="241" t="s">
        <v>232</v>
      </c>
      <c r="B138" s="241"/>
      <c r="C138" s="241"/>
      <c r="D138" s="241"/>
      <c r="E138" s="241"/>
      <c r="F138" s="241"/>
      <c r="G138" s="241"/>
      <c r="H138" s="241"/>
    </row>
    <row r="139" spans="1:8" x14ac:dyDescent="0.35">
      <c r="A139" s="378"/>
      <c r="B139" s="379"/>
      <c r="C139" s="380"/>
      <c r="D139" s="222" t="s">
        <v>256</v>
      </c>
      <c r="E139" s="208" t="s">
        <v>257</v>
      </c>
      <c r="F139" s="375" t="s">
        <v>258</v>
      </c>
      <c r="G139" s="376"/>
      <c r="H139" s="377"/>
    </row>
    <row r="140" spans="1:8" x14ac:dyDescent="0.35">
      <c r="A140" s="266" t="s">
        <v>477</v>
      </c>
      <c r="B140" s="267"/>
      <c r="C140" s="268"/>
      <c r="D140" s="59"/>
      <c r="E140" s="193" t="s">
        <v>2</v>
      </c>
      <c r="F140" s="403" t="str">
        <f>IF(D140="","",IF(D140&lt;0.1*F112,"Does not meet pretreatment criteria",IF(AND(D118="Yes",D119="Yes",D140&lt;F112),"Does not meet design criteria","")))</f>
        <v/>
      </c>
      <c r="G140" s="403"/>
      <c r="H140" s="403"/>
    </row>
    <row r="141" spans="1:8" ht="30" customHeight="1" x14ac:dyDescent="0.35">
      <c r="A141" s="266" t="s">
        <v>504</v>
      </c>
      <c r="B141" s="267"/>
      <c r="C141" s="268"/>
      <c r="D141" s="59"/>
      <c r="E141" s="193" t="s">
        <v>2</v>
      </c>
      <c r="F141" s="403" t="str">
        <f>IF(D141="","",IF(D141&lt;0.9*F112,"Does not meet sizing criteria",""))</f>
        <v/>
      </c>
      <c r="G141" s="403"/>
      <c r="H141" s="403"/>
    </row>
    <row r="142" spans="1:8" x14ac:dyDescent="0.35">
      <c r="A142" s="266" t="s">
        <v>505</v>
      </c>
      <c r="B142" s="267"/>
      <c r="C142" s="268"/>
      <c r="D142" s="59"/>
      <c r="E142" s="193" t="s">
        <v>271</v>
      </c>
      <c r="F142" s="403" t="str">
        <f>IF(D142="","",IF(D142&lt;15,"Does not meet sizing criteria",""))</f>
        <v/>
      </c>
      <c r="G142" s="403"/>
      <c r="H142" s="403"/>
    </row>
    <row r="143" spans="1:8" ht="13" x14ac:dyDescent="0.35">
      <c r="A143" s="390" t="s">
        <v>468</v>
      </c>
      <c r="B143" s="390"/>
      <c r="C143" s="390"/>
      <c r="D143" s="390"/>
      <c r="E143" s="390"/>
      <c r="F143" s="390"/>
      <c r="G143" s="390"/>
      <c r="H143" s="390"/>
    </row>
    <row r="144" spans="1:8" ht="13" x14ac:dyDescent="0.35">
      <c r="A144" s="398" t="s">
        <v>469</v>
      </c>
      <c r="B144" s="399"/>
      <c r="C144" s="400"/>
      <c r="D144" s="150" t="str">
        <f>IF(F112="","",IF(D115&gt;15,0,IF(AND(D116&gt;0.014,D117="No"),0,IF(AND(D117="No",D118="Yes"),0,IF(AND(D117="No",D119="Yes"),0,IF(AND(D117="Yes",D118="Yes",D120&lt;2),0,IF(AND(D119="Yes",D120&lt;2),0,IF(AND(D119="Yes",D140&lt;F112),0,IF(D122="Yes",0,IF(D123="No",0,IF(D124="No",0,IF(D125="No",0,IF(D126="No",0,IF(D127="No",0,IF(D128&lt;1,0,IF(D129&lt;8,0,IF(D130&lt;3,0,IF(D131&lt;24,0,IF(D132&lt;3,0,IF(D133="No",0,IF(D134="No",0,IF(D135="No",0,IF(D136&gt;15,0,IF(D137&lt;12,0,IF(D140&lt;0.1*F112,0,IF(D141&lt;0.9*F112,0,IF(D142&lt;15,0,F112)))))))))))))))))))))))))))</f>
        <v/>
      </c>
      <c r="E144" s="398" t="s">
        <v>2</v>
      </c>
      <c r="F144" s="399"/>
      <c r="G144" s="399"/>
      <c r="H144" s="400"/>
    </row>
    <row r="145" spans="1:8" ht="25.5" customHeight="1" x14ac:dyDescent="0.35">
      <c r="A145" s="16" t="s">
        <v>56</v>
      </c>
      <c r="B145" s="225" t="str">
        <f>IF('STEP 2-WQv Calculation'!$B$4="","",'STEP 2-WQv Calculation'!$B$4)</f>
        <v/>
      </c>
      <c r="C145" s="199"/>
      <c r="D145" s="199"/>
      <c r="E145" s="199"/>
      <c r="F145" s="199"/>
      <c r="G145" s="199"/>
      <c r="H145" s="199"/>
    </row>
    <row r="146" spans="1:8" ht="13" x14ac:dyDescent="0.35">
      <c r="A146" s="241" t="s">
        <v>293</v>
      </c>
      <c r="B146" s="241"/>
      <c r="C146" s="241"/>
      <c r="D146" s="241"/>
      <c r="E146" s="241"/>
      <c r="F146" s="241"/>
      <c r="G146" s="241"/>
      <c r="H146" s="241"/>
    </row>
    <row r="147" spans="1:8" ht="38.5" x14ac:dyDescent="0.35">
      <c r="A147" s="204" t="s">
        <v>60</v>
      </c>
      <c r="B147" s="205" t="s">
        <v>61</v>
      </c>
      <c r="C147" s="205" t="s">
        <v>62</v>
      </c>
      <c r="D147" s="205" t="s">
        <v>63</v>
      </c>
      <c r="E147" s="205" t="s">
        <v>64</v>
      </c>
      <c r="F147" s="205" t="s">
        <v>65</v>
      </c>
      <c r="G147" s="205" t="s">
        <v>244</v>
      </c>
      <c r="H147" s="206" t="s">
        <v>13</v>
      </c>
    </row>
    <row r="148" spans="1:8" x14ac:dyDescent="0.35">
      <c r="A148" s="218"/>
      <c r="B148" s="3" t="str">
        <f>IF($A148="","",(LOOKUP($A148,'STEP 2-WQv Calculation'!$A$8:$A$37,'STEP 2-WQv Calculation'!$B$8:$B$37)))</f>
        <v/>
      </c>
      <c r="C148" s="3" t="str">
        <f>IF($A148="","",(LOOKUP($A148,'STEP 2-WQv Calculation'!$A$8:$A$37,'STEP 2-WQv Calculation'!$C$8:$C$37)))</f>
        <v/>
      </c>
      <c r="D148" s="212" t="str">
        <f>IF($A148="","",(LOOKUP($A148,'STEP 2-WQv Calculation'!$A$8:$A$37,'STEP 2-WQv Calculation'!$D$8:$D$37)))</f>
        <v/>
      </c>
      <c r="E148" s="3" t="str">
        <f>IF($A148="","",(LOOKUP($A148,'STEP 2-WQv Calculation'!$A$8:$A$37,'STEP 2-WQv Calculation'!$E$8:$E$37)))</f>
        <v/>
      </c>
      <c r="F148" s="217" t="str">
        <f>IF($A148="","",(LOOKUP($A148,'STEP 2-WQv Calculation'!$A$8:$A$37,'STEP 2-WQv Calculation'!$F$8:$F$37)))</f>
        <v/>
      </c>
      <c r="G148" s="22">
        <f>'STEP 2-WQv Calculation'!B5</f>
        <v>0</v>
      </c>
      <c r="H148" s="198" t="str">
        <f>IF($A148="","",(LOOKUP($A148,'STEP 2-WQv Calculation'!$A$8:$A$37,'STEP 2-WQv Calculation'!$G$8:$G$37)))</f>
        <v/>
      </c>
    </row>
    <row r="149" spans="1:8" ht="27" customHeight="1" x14ac:dyDescent="0.3">
      <c r="A149" s="273" t="s">
        <v>226</v>
      </c>
      <c r="B149" s="273"/>
      <c r="C149" s="273"/>
      <c r="D149" s="273"/>
      <c r="E149" s="273"/>
      <c r="F149" s="273"/>
      <c r="G149" s="273"/>
      <c r="H149" s="273"/>
    </row>
    <row r="150" spans="1:8" x14ac:dyDescent="0.35">
      <c r="A150" s="242" t="s">
        <v>471</v>
      </c>
      <c r="B150" s="243"/>
      <c r="C150" s="244"/>
      <c r="D150" s="211"/>
      <c r="E150" s="401" t="str">
        <f>IF(D150="YES", "A permit is required","")</f>
        <v/>
      </c>
      <c r="F150" s="402"/>
      <c r="G150" s="402"/>
      <c r="H150" s="405"/>
    </row>
    <row r="151" spans="1:8" x14ac:dyDescent="0.35">
      <c r="A151" s="242" t="s">
        <v>472</v>
      </c>
      <c r="B151" s="243"/>
      <c r="C151" s="244"/>
      <c r="D151" s="43"/>
      <c r="E151" s="401" t="str">
        <f>IF(D151&gt;15,"Does not meet feasibility criteria","")</f>
        <v/>
      </c>
      <c r="F151" s="402"/>
      <c r="G151" s="402"/>
      <c r="H151" s="405"/>
    </row>
    <row r="152" spans="1:8" x14ac:dyDescent="0.35">
      <c r="A152" s="242" t="s">
        <v>442</v>
      </c>
      <c r="B152" s="243"/>
      <c r="C152" s="244"/>
      <c r="D152" s="43"/>
      <c r="E152" s="401" t="str">
        <f>IF(D152="","If an impermeable liner is provided, enter 0 in/hr",IF(D152&gt;0.014,"Does not meet feasibility criteria, provide an impermeable liner",""))</f>
        <v>If an impermeable liner is provided, enter 0 in/hr</v>
      </c>
      <c r="F152" s="402"/>
      <c r="G152" s="402"/>
      <c r="H152" s="405"/>
    </row>
    <row r="153" spans="1:8" x14ac:dyDescent="0.35">
      <c r="A153" s="242" t="s">
        <v>443</v>
      </c>
      <c r="B153" s="243"/>
      <c r="C153" s="244"/>
      <c r="D153" s="211"/>
      <c r="E153" s="401" t="str">
        <f>IF(AND(D152&gt;0.014,D153="No"),"Does not meet feasibility criteria","")</f>
        <v/>
      </c>
      <c r="F153" s="402"/>
      <c r="G153" s="402"/>
      <c r="H153" s="405"/>
    </row>
    <row r="154" spans="1:8" x14ac:dyDescent="0.35">
      <c r="A154" s="242" t="s">
        <v>473</v>
      </c>
      <c r="B154" s="243"/>
      <c r="C154" s="244"/>
      <c r="D154" s="211"/>
      <c r="E154" s="401" t="str">
        <f>IF(AND(D153="No",D154="Yes"),"Does not meet feasibility criteria","")</f>
        <v/>
      </c>
      <c r="F154" s="402"/>
      <c r="G154" s="402"/>
      <c r="H154" s="405"/>
    </row>
    <row r="155" spans="1:8" x14ac:dyDescent="0.35">
      <c r="A155" s="242" t="s">
        <v>474</v>
      </c>
      <c r="B155" s="243"/>
      <c r="C155" s="244"/>
      <c r="D155" s="211"/>
      <c r="E155" s="401" t="str">
        <f>IF(AND(D153="Yes",D155="Yes"),"Provide 100% pretreatment",IF(AND(D153="No",D155="Yes"),"Does not meet feasibility criteria",""))</f>
        <v/>
      </c>
      <c r="F155" s="402"/>
      <c r="G155" s="402"/>
      <c r="H155" s="405"/>
    </row>
    <row r="156" spans="1:8" x14ac:dyDescent="0.35">
      <c r="A156" s="242" t="s">
        <v>296</v>
      </c>
      <c r="B156" s="243"/>
      <c r="C156" s="244"/>
      <c r="D156" s="43"/>
      <c r="E156" s="401" t="str">
        <f>IF(AND(D153="No",D154="Yes"),"Does not meet feasibility criteria",IF(AND(D153="No",D155="Yes"),"Does not meet feasibility criteria",IF(AND(D153="Yes",D154="Yes",D156&lt;2),"Does not meet feasibility criteria",IF(AND(D153="Yes",D155="Yes",D156&lt;2),"Does not meet feasibility criteria",""))))</f>
        <v/>
      </c>
      <c r="F156" s="402"/>
      <c r="G156" s="402"/>
      <c r="H156" s="405"/>
    </row>
    <row r="157" spans="1:8" ht="25.5" customHeight="1" x14ac:dyDescent="0.35">
      <c r="A157" s="242" t="s">
        <v>711</v>
      </c>
      <c r="B157" s="406"/>
      <c r="C157" s="407"/>
      <c r="D157" s="218"/>
      <c r="E157" s="218"/>
      <c r="F157" s="218"/>
      <c r="G157" s="198" t="s">
        <v>716</v>
      </c>
      <c r="H157" s="198">
        <f>IF($D157="",0,(LOOKUP($D157,'STEP 2-WQv Calculation'!$A$8:$A$37,'STEP 2-WQv Calculation'!$B$8:$B$37)))+IF($E157="",0,(LOOKUP($E157,'STEP 2-WQv Calculation'!$A$8:$A$37,'STEP 2-WQv Calculation'!$B$8:$B$37)))+IF($F157="",0,(LOOKUP($F157,'STEP 2-WQv Calculation'!$A$8:$A$37,'STEP 2-WQv Calculation'!$B$8:$B$37)))</f>
        <v>0</v>
      </c>
    </row>
    <row r="158" spans="1:8" ht="12.75" customHeight="1" x14ac:dyDescent="0.35">
      <c r="A158" s="242" t="s">
        <v>494</v>
      </c>
      <c r="B158" s="243"/>
      <c r="C158" s="244"/>
      <c r="D158" s="227" t="str">
        <f>IF(B148="","",IF((B148+H157)&gt;5,"Yes","No"))</f>
        <v/>
      </c>
      <c r="E158" s="401" t="str">
        <f>IF(D158="Yes","Does not meet feasibility criteria","")</f>
        <v/>
      </c>
      <c r="F158" s="402"/>
      <c r="G158" s="402"/>
      <c r="H158" s="405"/>
    </row>
    <row r="159" spans="1:8" x14ac:dyDescent="0.35">
      <c r="A159" s="242" t="s">
        <v>495</v>
      </c>
      <c r="B159" s="243"/>
      <c r="C159" s="244"/>
      <c r="D159" s="211"/>
      <c r="E159" s="401" t="str">
        <f>IF(D159="No","Does not meet conveyance criteria","")</f>
        <v/>
      </c>
      <c r="F159" s="402"/>
      <c r="G159" s="402"/>
      <c r="H159" s="405"/>
    </row>
    <row r="160" spans="1:8" x14ac:dyDescent="0.35">
      <c r="A160" s="242" t="s">
        <v>496</v>
      </c>
      <c r="B160" s="243"/>
      <c r="C160" s="244"/>
      <c r="D160" s="211"/>
      <c r="E160" s="401" t="str">
        <f>IF(D160="No","Does not meet conveyance criteria","")</f>
        <v/>
      </c>
      <c r="F160" s="402"/>
      <c r="G160" s="402"/>
      <c r="H160" s="405"/>
    </row>
    <row r="161" spans="1:8" x14ac:dyDescent="0.35">
      <c r="A161" s="242" t="s">
        <v>497</v>
      </c>
      <c r="B161" s="243"/>
      <c r="C161" s="244"/>
      <c r="D161" s="211"/>
      <c r="E161" s="401" t="str">
        <f>IF(D161="No","Does not meet conveyance criteria","")</f>
        <v/>
      </c>
      <c r="F161" s="402"/>
      <c r="G161" s="402"/>
      <c r="H161" s="405"/>
    </row>
    <row r="162" spans="1:8" x14ac:dyDescent="0.35">
      <c r="A162" s="242" t="s">
        <v>451</v>
      </c>
      <c r="B162" s="243"/>
      <c r="C162" s="244"/>
      <c r="D162" s="211"/>
      <c r="E162" s="401" t="str">
        <f>IF(D162="No","Does not meet conveyance criteria","")</f>
        <v/>
      </c>
      <c r="F162" s="402"/>
      <c r="G162" s="402"/>
      <c r="H162" s="405"/>
    </row>
    <row r="163" spans="1:8" x14ac:dyDescent="0.35">
      <c r="A163" s="242" t="s">
        <v>476</v>
      </c>
      <c r="B163" s="243"/>
      <c r="C163" s="244"/>
      <c r="D163" s="211"/>
      <c r="E163" s="401" t="str">
        <f>IF(D163="No","Does not meet pretreatment criteria","")</f>
        <v/>
      </c>
      <c r="F163" s="402"/>
      <c r="G163" s="402"/>
      <c r="H163" s="405"/>
    </row>
    <row r="164" spans="1:8" x14ac:dyDescent="0.35">
      <c r="A164" s="242" t="s">
        <v>453</v>
      </c>
      <c r="B164" s="243"/>
      <c r="C164" s="244"/>
      <c r="D164" s="43"/>
      <c r="E164" s="401" t="str">
        <f>IF(D164="","",IF(D164&lt;1,"Does not meet design criteria",""))</f>
        <v/>
      </c>
      <c r="F164" s="402"/>
      <c r="G164" s="402"/>
      <c r="H164" s="405"/>
    </row>
    <row r="165" spans="1:8" x14ac:dyDescent="0.35">
      <c r="A165" s="242" t="s">
        <v>286</v>
      </c>
      <c r="B165" s="243"/>
      <c r="C165" s="244"/>
      <c r="D165" s="43"/>
      <c r="E165" s="401" t="str">
        <f>IF(D165="","",IF(D165&lt;8,"Does not meet design criteria",""))</f>
        <v/>
      </c>
      <c r="F165" s="402"/>
      <c r="G165" s="402"/>
      <c r="H165" s="405"/>
    </row>
    <row r="166" spans="1:8" x14ac:dyDescent="0.35">
      <c r="A166" s="242" t="s">
        <v>498</v>
      </c>
      <c r="B166" s="243"/>
      <c r="C166" s="244"/>
      <c r="D166" s="43"/>
      <c r="E166" s="401" t="str">
        <f>IF(D166="","",IF(D166&lt;3,"Does not meet design criteria",""))</f>
        <v/>
      </c>
      <c r="F166" s="402"/>
      <c r="G166" s="402"/>
      <c r="H166" s="405"/>
    </row>
    <row r="167" spans="1:8" x14ac:dyDescent="0.35">
      <c r="A167" s="242" t="s">
        <v>499</v>
      </c>
      <c r="B167" s="243"/>
      <c r="C167" s="244"/>
      <c r="D167" s="43"/>
      <c r="E167" s="401" t="str">
        <f>IF(D167="","",IF(D167&lt;24,"Does not meet design criteria",""))</f>
        <v/>
      </c>
      <c r="F167" s="402"/>
      <c r="G167" s="402"/>
      <c r="H167" s="405"/>
    </row>
    <row r="168" spans="1:8" x14ac:dyDescent="0.35">
      <c r="A168" s="242" t="s">
        <v>500</v>
      </c>
      <c r="B168" s="243"/>
      <c r="C168" s="244"/>
      <c r="D168" s="43"/>
      <c r="E168" s="401" t="str">
        <f>IF(D168="","",IF(D168&lt;3,"Does not meet design criteria",""))</f>
        <v/>
      </c>
      <c r="F168" s="402"/>
      <c r="G168" s="402"/>
      <c r="H168" s="405"/>
    </row>
    <row r="169" spans="1:8" x14ac:dyDescent="0.35">
      <c r="A169" s="242" t="s">
        <v>501</v>
      </c>
      <c r="B169" s="243"/>
      <c r="C169" s="244"/>
      <c r="D169" s="211"/>
      <c r="E169" s="401" t="str">
        <f>IF(D169="No","Does not meet design criteria","")</f>
        <v/>
      </c>
      <c r="F169" s="402"/>
      <c r="G169" s="402"/>
      <c r="H169" s="405"/>
    </row>
    <row r="170" spans="1:8" x14ac:dyDescent="0.35">
      <c r="A170" s="242" t="s">
        <v>502</v>
      </c>
      <c r="B170" s="243"/>
      <c r="C170" s="244"/>
      <c r="D170" s="211"/>
      <c r="E170" s="401" t="str">
        <f>IF(D170="No","Does not meet design criteria","")</f>
        <v/>
      </c>
      <c r="F170" s="402"/>
      <c r="G170" s="402"/>
      <c r="H170" s="405"/>
    </row>
    <row r="171" spans="1:8" x14ac:dyDescent="0.35">
      <c r="A171" s="242" t="s">
        <v>503</v>
      </c>
      <c r="B171" s="243"/>
      <c r="C171" s="244"/>
      <c r="D171" s="211"/>
      <c r="E171" s="401" t="str">
        <f>IF(D171="No","Does not meet design criteria","")</f>
        <v/>
      </c>
      <c r="F171" s="402"/>
      <c r="G171" s="402"/>
      <c r="H171" s="405"/>
    </row>
    <row r="172" spans="1:8" x14ac:dyDescent="0.35">
      <c r="A172" s="242" t="s">
        <v>460</v>
      </c>
      <c r="B172" s="243"/>
      <c r="C172" s="244"/>
      <c r="D172" s="43"/>
      <c r="E172" s="401" t="str">
        <f>IF(D172&gt;15,"Does not meet design criteria","")</f>
        <v/>
      </c>
      <c r="F172" s="402"/>
      <c r="G172" s="402"/>
      <c r="H172" s="405"/>
    </row>
    <row r="173" spans="1:8" x14ac:dyDescent="0.35">
      <c r="A173" s="242" t="s">
        <v>461</v>
      </c>
      <c r="B173" s="243"/>
      <c r="C173" s="244"/>
      <c r="D173" s="43"/>
      <c r="E173" s="401" t="str">
        <f>IF(D173="","",IF(D173&lt;12,"Does not meet design criteria",""))</f>
        <v/>
      </c>
      <c r="F173" s="402"/>
      <c r="G173" s="402"/>
      <c r="H173" s="405"/>
    </row>
    <row r="174" spans="1:8" ht="13" x14ac:dyDescent="0.35">
      <c r="A174" s="241" t="s">
        <v>232</v>
      </c>
      <c r="B174" s="241"/>
      <c r="C174" s="241"/>
      <c r="D174" s="241"/>
      <c r="E174" s="241"/>
      <c r="F174" s="241"/>
      <c r="G174" s="241"/>
      <c r="H174" s="241"/>
    </row>
    <row r="175" spans="1:8" x14ac:dyDescent="0.35">
      <c r="A175" s="378"/>
      <c r="B175" s="379"/>
      <c r="C175" s="380"/>
      <c r="D175" s="222" t="s">
        <v>256</v>
      </c>
      <c r="E175" s="208" t="s">
        <v>257</v>
      </c>
      <c r="F175" s="375" t="s">
        <v>258</v>
      </c>
      <c r="G175" s="376"/>
      <c r="H175" s="377"/>
    </row>
    <row r="176" spans="1:8" ht="30" customHeight="1" x14ac:dyDescent="0.35">
      <c r="A176" s="266" t="s">
        <v>477</v>
      </c>
      <c r="B176" s="267"/>
      <c r="C176" s="268"/>
      <c r="D176" s="59"/>
      <c r="E176" s="193" t="s">
        <v>2</v>
      </c>
      <c r="F176" s="403" t="str">
        <f>IF(D176="","",IF(D176&lt;0.1*F148,"Does not meet pretreatment criteria",IF(AND(D154="Yes",D155="Yes",D176&lt;F148),"Does not meet design criteria","")))</f>
        <v/>
      </c>
      <c r="G176" s="403"/>
      <c r="H176" s="403"/>
    </row>
    <row r="177" spans="1:8" x14ac:dyDescent="0.35">
      <c r="A177" s="266" t="s">
        <v>504</v>
      </c>
      <c r="B177" s="267"/>
      <c r="C177" s="268"/>
      <c r="D177" s="59"/>
      <c r="E177" s="193" t="s">
        <v>2</v>
      </c>
      <c r="F177" s="403" t="str">
        <f>IF(D177="","",IF(D177&lt;0.9*F148,"Does not meet sizing criteria",""))</f>
        <v/>
      </c>
      <c r="G177" s="403"/>
      <c r="H177" s="403"/>
    </row>
    <row r="178" spans="1:8" x14ac:dyDescent="0.35">
      <c r="A178" s="266" t="s">
        <v>505</v>
      </c>
      <c r="B178" s="267"/>
      <c r="C178" s="268"/>
      <c r="D178" s="59"/>
      <c r="E178" s="193" t="s">
        <v>271</v>
      </c>
      <c r="F178" s="403" t="str">
        <f>IF(D178="","",IF(D178&lt;15,"Does not meet sizing criteria",""))</f>
        <v/>
      </c>
      <c r="G178" s="403"/>
      <c r="H178" s="403"/>
    </row>
    <row r="179" spans="1:8" ht="13" x14ac:dyDescent="0.35">
      <c r="A179" s="390" t="s">
        <v>468</v>
      </c>
      <c r="B179" s="390"/>
      <c r="C179" s="390"/>
      <c r="D179" s="390"/>
      <c r="E179" s="390"/>
      <c r="F179" s="390"/>
      <c r="G179" s="390"/>
      <c r="H179" s="390"/>
    </row>
    <row r="180" spans="1:8" ht="13" x14ac:dyDescent="0.35">
      <c r="A180" s="398" t="s">
        <v>469</v>
      </c>
      <c r="B180" s="399"/>
      <c r="C180" s="400"/>
      <c r="D180" s="150" t="str">
        <f>IF(F148="","",IF(D151&gt;15,0,IF(AND(D152&gt;0.014,D153="No"),0,IF(AND(D153="No",D154="Yes"),0,IF(AND(D153="No",D155="Yes"),0,IF(AND(D153="Yes",D154="Yes",D156&lt;2),0,IF(AND(D155="Yes",D156&lt;2),0,IF(AND(D155="Yes",D176&lt;F148),0,IF(D158="Yes",0,IF(D159="No",0,IF(D160="No",0,IF(D161="No",0,IF(D162="No",0,IF(D163="No",0,IF(D164&lt;1,0,IF(D165&lt;8,0,IF(D166&lt;3,0,IF(D167&lt;24,0,IF(D168&lt;3,0,IF(D169="No",0,IF(D170="No",0,IF(D171="No",0,IF(D172&gt;15,0,IF(D173&lt;12,0,IF(D176&lt;0.1*F148,0,IF(D177&lt;0.9*F148,0,IF(D178&lt;15,0,F148)))))))))))))))))))))))))))</f>
        <v/>
      </c>
      <c r="E180" s="398" t="s">
        <v>2</v>
      </c>
      <c r="F180" s="399"/>
      <c r="G180" s="399"/>
      <c r="H180" s="400"/>
    </row>
    <row r="181" spans="1:8" ht="13" x14ac:dyDescent="0.35">
      <c r="A181" s="16" t="s">
        <v>56</v>
      </c>
      <c r="B181" s="225" t="str">
        <f>IF('STEP 2-WQv Calculation'!$B$4="","",'STEP 2-WQv Calculation'!$B$4)</f>
        <v/>
      </c>
      <c r="C181" s="199"/>
      <c r="D181" s="199"/>
      <c r="E181" s="199"/>
      <c r="F181" s="199"/>
      <c r="G181" s="199"/>
      <c r="H181" s="199"/>
    </row>
    <row r="182" spans="1:8" ht="13" x14ac:dyDescent="0.35">
      <c r="A182" s="241" t="s">
        <v>293</v>
      </c>
      <c r="B182" s="241"/>
      <c r="C182" s="241"/>
      <c r="D182" s="241"/>
      <c r="E182" s="241"/>
      <c r="F182" s="241"/>
      <c r="G182" s="241"/>
      <c r="H182" s="241"/>
    </row>
    <row r="183" spans="1:8" ht="38.5" x14ac:dyDescent="0.35">
      <c r="A183" s="204" t="s">
        <v>60</v>
      </c>
      <c r="B183" s="205" t="s">
        <v>61</v>
      </c>
      <c r="C183" s="205" t="s">
        <v>62</v>
      </c>
      <c r="D183" s="205" t="s">
        <v>63</v>
      </c>
      <c r="E183" s="205" t="s">
        <v>64</v>
      </c>
      <c r="F183" s="205" t="s">
        <v>65</v>
      </c>
      <c r="G183" s="205" t="s">
        <v>244</v>
      </c>
      <c r="H183" s="206" t="s">
        <v>13</v>
      </c>
    </row>
    <row r="184" spans="1:8" x14ac:dyDescent="0.35">
      <c r="A184" s="218"/>
      <c r="B184" s="3" t="str">
        <f>IF($A184="","",(LOOKUP($A184,'STEP 2-WQv Calculation'!$A$8:$A$37,'STEP 2-WQv Calculation'!$B$8:$B$37)))</f>
        <v/>
      </c>
      <c r="C184" s="3" t="str">
        <f>IF($A184="","",(LOOKUP($A184,'STEP 2-WQv Calculation'!$A$8:$A$37,'STEP 2-WQv Calculation'!$C$8:$C$37)))</f>
        <v/>
      </c>
      <c r="D184" s="212" t="str">
        <f>IF($A184="","",(LOOKUP($A184,'STEP 2-WQv Calculation'!$A$8:$A$37,'STEP 2-WQv Calculation'!$D$8:$D$37)))</f>
        <v/>
      </c>
      <c r="E184" s="3" t="str">
        <f>IF($A184="","",(LOOKUP($A184,'STEP 2-WQv Calculation'!$A$8:$A$37,'STEP 2-WQv Calculation'!$E$8:$E$37)))</f>
        <v/>
      </c>
      <c r="F184" s="217" t="str">
        <f>IF($A184="","",(LOOKUP($A184,'STEP 2-WQv Calculation'!$A$8:$A$37,'STEP 2-WQv Calculation'!$F$8:$F$37)))</f>
        <v/>
      </c>
      <c r="G184" s="22">
        <f>'STEP 2-WQv Calculation'!B41</f>
        <v>0</v>
      </c>
      <c r="H184" s="198" t="str">
        <f>IF($A184="","",(LOOKUP($A184,'STEP 2-WQv Calculation'!$A$8:$A$37,'STEP 2-WQv Calculation'!$G$8:$G$37)))</f>
        <v/>
      </c>
    </row>
    <row r="185" spans="1:8" ht="13" x14ac:dyDescent="0.3">
      <c r="A185" s="273" t="s">
        <v>226</v>
      </c>
      <c r="B185" s="273"/>
      <c r="C185" s="273"/>
      <c r="D185" s="273"/>
      <c r="E185" s="273"/>
      <c r="F185" s="273"/>
      <c r="G185" s="273"/>
      <c r="H185" s="273"/>
    </row>
    <row r="186" spans="1:8" x14ac:dyDescent="0.35">
      <c r="A186" s="242" t="s">
        <v>471</v>
      </c>
      <c r="B186" s="243"/>
      <c r="C186" s="244"/>
      <c r="D186" s="211"/>
      <c r="E186" s="401" t="str">
        <f>IF(D186="YES", "A permit is required","")</f>
        <v/>
      </c>
      <c r="F186" s="402"/>
      <c r="G186" s="402"/>
      <c r="H186" s="405"/>
    </row>
    <row r="187" spans="1:8" x14ac:dyDescent="0.35">
      <c r="A187" s="242" t="s">
        <v>472</v>
      </c>
      <c r="B187" s="243"/>
      <c r="C187" s="244"/>
      <c r="D187" s="43"/>
      <c r="E187" s="401" t="str">
        <f>IF(D187&gt;15,"Does not meet feasibility criteria","")</f>
        <v/>
      </c>
      <c r="F187" s="402"/>
      <c r="G187" s="402"/>
      <c r="H187" s="405"/>
    </row>
    <row r="188" spans="1:8" x14ac:dyDescent="0.35">
      <c r="A188" s="242" t="s">
        <v>442</v>
      </c>
      <c r="B188" s="243"/>
      <c r="C188" s="244"/>
      <c r="D188" s="43"/>
      <c r="E188" s="401" t="str">
        <f>IF(D188="","If an impermeable liner is provided, enter 0 in/hr",IF(D188&gt;0.014,"Does not meet feasibility criteria, provide an impermeable liner",""))</f>
        <v>If an impermeable liner is provided, enter 0 in/hr</v>
      </c>
      <c r="F188" s="402"/>
      <c r="G188" s="402"/>
      <c r="H188" s="405"/>
    </row>
    <row r="189" spans="1:8" x14ac:dyDescent="0.35">
      <c r="A189" s="242" t="s">
        <v>443</v>
      </c>
      <c r="B189" s="243"/>
      <c r="C189" s="244"/>
      <c r="D189" s="211"/>
      <c r="E189" s="401" t="str">
        <f>IF(AND(D188&gt;0.014,D189="No"),"Does not meet feasibility criteria","")</f>
        <v/>
      </c>
      <c r="F189" s="402"/>
      <c r="G189" s="402"/>
      <c r="H189" s="405"/>
    </row>
    <row r="190" spans="1:8" x14ac:dyDescent="0.35">
      <c r="A190" s="242" t="s">
        <v>473</v>
      </c>
      <c r="B190" s="243"/>
      <c r="C190" s="244"/>
      <c r="D190" s="211"/>
      <c r="E190" s="401" t="str">
        <f>IF(AND(D189="No",D190="Yes"),"Does not meet feasibility criteria","")</f>
        <v/>
      </c>
      <c r="F190" s="402"/>
      <c r="G190" s="402"/>
      <c r="H190" s="405"/>
    </row>
    <row r="191" spans="1:8" x14ac:dyDescent="0.35">
      <c r="A191" s="242" t="s">
        <v>474</v>
      </c>
      <c r="B191" s="243"/>
      <c r="C191" s="244"/>
      <c r="D191" s="211"/>
      <c r="E191" s="401" t="str">
        <f>IF(AND(D189="Yes",D191="Yes"),"Provide 100% pretreatment",IF(AND(D189="No",D191="Yes"),"Does not meet feasibility criteria",""))</f>
        <v/>
      </c>
      <c r="F191" s="402"/>
      <c r="G191" s="402"/>
      <c r="H191" s="405"/>
    </row>
    <row r="192" spans="1:8" x14ac:dyDescent="0.35">
      <c r="A192" s="242" t="s">
        <v>296</v>
      </c>
      <c r="B192" s="243"/>
      <c r="C192" s="244"/>
      <c r="D192" s="43"/>
      <c r="E192" s="401" t="str">
        <f>IF(AND(D189="No",D190="Yes"),"Does not meet feasibility criteria",IF(AND(D189="No",D191="Yes"),"Does not meet feasibility criteria",IF(AND(D189="Yes",D190="Yes",D192&lt;2),"Does not meet feasibility criteria",IF(AND(D189="Yes",D191="Yes",D192&lt;2),"Does not meet feasibility criteria",""))))</f>
        <v/>
      </c>
      <c r="F192" s="402"/>
      <c r="G192" s="402"/>
      <c r="H192" s="405"/>
    </row>
    <row r="193" spans="1:8" ht="25" x14ac:dyDescent="0.35">
      <c r="A193" s="242" t="s">
        <v>711</v>
      </c>
      <c r="B193" s="406"/>
      <c r="C193" s="407"/>
      <c r="D193" s="218"/>
      <c r="E193" s="218"/>
      <c r="F193" s="218"/>
      <c r="G193" s="198" t="s">
        <v>716</v>
      </c>
      <c r="H193" s="198">
        <f>IF($D193="",0,(LOOKUP($D193,'STEP 2-WQv Calculation'!$A$8:$A$37,'STEP 2-WQv Calculation'!$B$8:$B$37)))+IF($E193="",0,(LOOKUP($E193,'STEP 2-WQv Calculation'!$A$8:$A$37,'STEP 2-WQv Calculation'!$B$8:$B$37)))+IF($F193="",0,(LOOKUP($F193,'STEP 2-WQv Calculation'!$A$8:$A$37,'STEP 2-WQv Calculation'!$B$8:$B$37)))</f>
        <v>0</v>
      </c>
    </row>
    <row r="194" spans="1:8" x14ac:dyDescent="0.35">
      <c r="A194" s="242" t="s">
        <v>494</v>
      </c>
      <c r="B194" s="243"/>
      <c r="C194" s="244"/>
      <c r="D194" s="227" t="str">
        <f>IF(B184="","",IF((B184+H193)&gt;5,"Yes","No"))</f>
        <v/>
      </c>
      <c r="E194" s="401" t="str">
        <f>IF(D194="Yes","Does not meet feasibility criteria","")</f>
        <v/>
      </c>
      <c r="F194" s="402"/>
      <c r="G194" s="402"/>
      <c r="H194" s="405"/>
    </row>
    <row r="195" spans="1:8" x14ac:dyDescent="0.35">
      <c r="A195" s="242" t="s">
        <v>495</v>
      </c>
      <c r="B195" s="243"/>
      <c r="C195" s="244"/>
      <c r="D195" s="211"/>
      <c r="E195" s="401" t="str">
        <f>IF(D195="No","Does not meet conveyance criteria","")</f>
        <v/>
      </c>
      <c r="F195" s="402"/>
      <c r="G195" s="402"/>
      <c r="H195" s="405"/>
    </row>
    <row r="196" spans="1:8" x14ac:dyDescent="0.35">
      <c r="A196" s="242" t="s">
        <v>496</v>
      </c>
      <c r="B196" s="243"/>
      <c r="C196" s="244"/>
      <c r="D196" s="211"/>
      <c r="E196" s="401" t="str">
        <f>IF(D196="No","Does not meet conveyance criteria","")</f>
        <v/>
      </c>
      <c r="F196" s="402"/>
      <c r="G196" s="402"/>
      <c r="H196" s="405"/>
    </row>
    <row r="197" spans="1:8" x14ac:dyDescent="0.35">
      <c r="A197" s="242" t="s">
        <v>497</v>
      </c>
      <c r="B197" s="243"/>
      <c r="C197" s="244"/>
      <c r="D197" s="211"/>
      <c r="E197" s="401" t="str">
        <f>IF(D197="No","Does not meet conveyance criteria","")</f>
        <v/>
      </c>
      <c r="F197" s="402"/>
      <c r="G197" s="402"/>
      <c r="H197" s="405"/>
    </row>
    <row r="198" spans="1:8" x14ac:dyDescent="0.35">
      <c r="A198" s="242" t="s">
        <v>451</v>
      </c>
      <c r="B198" s="243"/>
      <c r="C198" s="244"/>
      <c r="D198" s="211"/>
      <c r="E198" s="401" t="str">
        <f>IF(D198="No","Does not meet conveyance criteria","")</f>
        <v/>
      </c>
      <c r="F198" s="402"/>
      <c r="G198" s="402"/>
      <c r="H198" s="405"/>
    </row>
    <row r="199" spans="1:8" x14ac:dyDescent="0.35">
      <c r="A199" s="242" t="s">
        <v>476</v>
      </c>
      <c r="B199" s="243"/>
      <c r="C199" s="244"/>
      <c r="D199" s="211"/>
      <c r="E199" s="401" t="str">
        <f>IF(D199="No","Does not meet pretreatment criteria","")</f>
        <v/>
      </c>
      <c r="F199" s="402"/>
      <c r="G199" s="402"/>
      <c r="H199" s="405"/>
    </row>
    <row r="200" spans="1:8" x14ac:dyDescent="0.35">
      <c r="A200" s="242" t="s">
        <v>453</v>
      </c>
      <c r="B200" s="243"/>
      <c r="C200" s="244"/>
      <c r="D200" s="43"/>
      <c r="E200" s="401" t="str">
        <f>IF(D200="","",IF(D200&lt;1,"Does not meet design criteria",""))</f>
        <v/>
      </c>
      <c r="F200" s="402"/>
      <c r="G200" s="402"/>
      <c r="H200" s="405"/>
    </row>
    <row r="201" spans="1:8" x14ac:dyDescent="0.35">
      <c r="A201" s="242" t="s">
        <v>286</v>
      </c>
      <c r="B201" s="243"/>
      <c r="C201" s="244"/>
      <c r="D201" s="43"/>
      <c r="E201" s="401" t="str">
        <f>IF(D201="","",IF(D201&lt;8,"Does not meet design criteria",""))</f>
        <v/>
      </c>
      <c r="F201" s="402"/>
      <c r="G201" s="402"/>
      <c r="H201" s="405"/>
    </row>
    <row r="202" spans="1:8" x14ac:dyDescent="0.35">
      <c r="A202" s="242" t="s">
        <v>498</v>
      </c>
      <c r="B202" s="243"/>
      <c r="C202" s="244"/>
      <c r="D202" s="43"/>
      <c r="E202" s="401" t="str">
        <f>IF(D202="","",IF(D202&lt;3,"Does not meet design criteria",""))</f>
        <v/>
      </c>
      <c r="F202" s="402"/>
      <c r="G202" s="402"/>
      <c r="H202" s="405"/>
    </row>
    <row r="203" spans="1:8" x14ac:dyDescent="0.35">
      <c r="A203" s="242" t="s">
        <v>499</v>
      </c>
      <c r="B203" s="243"/>
      <c r="C203" s="244"/>
      <c r="D203" s="43"/>
      <c r="E203" s="401" t="str">
        <f>IF(D203="","",IF(D203&lt;24,"Does not meet design criteria",""))</f>
        <v/>
      </c>
      <c r="F203" s="402"/>
      <c r="G203" s="402"/>
      <c r="H203" s="405"/>
    </row>
    <row r="204" spans="1:8" x14ac:dyDescent="0.35">
      <c r="A204" s="242" t="s">
        <v>500</v>
      </c>
      <c r="B204" s="243"/>
      <c r="C204" s="244"/>
      <c r="D204" s="43"/>
      <c r="E204" s="401" t="str">
        <f>IF(D204="","",IF(D204&lt;3,"Does not meet design criteria",""))</f>
        <v/>
      </c>
      <c r="F204" s="402"/>
      <c r="G204" s="402"/>
      <c r="H204" s="405"/>
    </row>
    <row r="205" spans="1:8" x14ac:dyDescent="0.35">
      <c r="A205" s="242" t="s">
        <v>501</v>
      </c>
      <c r="B205" s="243"/>
      <c r="C205" s="244"/>
      <c r="D205" s="211"/>
      <c r="E205" s="401" t="str">
        <f>IF(D205="No","Does not meet design criteria","")</f>
        <v/>
      </c>
      <c r="F205" s="402"/>
      <c r="G205" s="402"/>
      <c r="H205" s="405"/>
    </row>
    <row r="206" spans="1:8" x14ac:dyDescent="0.35">
      <c r="A206" s="242" t="s">
        <v>502</v>
      </c>
      <c r="B206" s="243"/>
      <c r="C206" s="244"/>
      <c r="D206" s="211"/>
      <c r="E206" s="401" t="str">
        <f>IF(D206="No","Does not meet design criteria","")</f>
        <v/>
      </c>
      <c r="F206" s="402"/>
      <c r="G206" s="402"/>
      <c r="H206" s="405"/>
    </row>
    <row r="207" spans="1:8" x14ac:dyDescent="0.35">
      <c r="A207" s="242" t="s">
        <v>503</v>
      </c>
      <c r="B207" s="243"/>
      <c r="C207" s="244"/>
      <c r="D207" s="211"/>
      <c r="E207" s="401" t="str">
        <f>IF(D207="No","Does not meet design criteria","")</f>
        <v/>
      </c>
      <c r="F207" s="402"/>
      <c r="G207" s="402"/>
      <c r="H207" s="405"/>
    </row>
    <row r="208" spans="1:8" x14ac:dyDescent="0.35">
      <c r="A208" s="242" t="s">
        <v>460</v>
      </c>
      <c r="B208" s="243"/>
      <c r="C208" s="244"/>
      <c r="D208" s="43"/>
      <c r="E208" s="401" t="str">
        <f>IF(D208&gt;15,"Does not meet design criteria","")</f>
        <v/>
      </c>
      <c r="F208" s="402"/>
      <c r="G208" s="402"/>
      <c r="H208" s="405"/>
    </row>
    <row r="209" spans="1:8" x14ac:dyDescent="0.35">
      <c r="A209" s="242" t="s">
        <v>461</v>
      </c>
      <c r="B209" s="243"/>
      <c r="C209" s="244"/>
      <c r="D209" s="43"/>
      <c r="E209" s="401" t="str">
        <f>IF(D209="","",IF(D209&lt;12,"Does not meet design criteria",""))</f>
        <v/>
      </c>
      <c r="F209" s="402"/>
      <c r="G209" s="402"/>
      <c r="H209" s="405"/>
    </row>
    <row r="210" spans="1:8" ht="13" x14ac:dyDescent="0.35">
      <c r="A210" s="241" t="s">
        <v>232</v>
      </c>
      <c r="B210" s="241"/>
      <c r="C210" s="241"/>
      <c r="D210" s="241"/>
      <c r="E210" s="241"/>
      <c r="F210" s="241"/>
      <c r="G210" s="241"/>
      <c r="H210" s="241"/>
    </row>
    <row r="211" spans="1:8" x14ac:dyDescent="0.35">
      <c r="A211" s="378"/>
      <c r="B211" s="379"/>
      <c r="C211" s="380"/>
      <c r="D211" s="222" t="s">
        <v>256</v>
      </c>
      <c r="E211" s="208" t="s">
        <v>257</v>
      </c>
      <c r="F211" s="375" t="s">
        <v>258</v>
      </c>
      <c r="G211" s="376"/>
      <c r="H211" s="377"/>
    </row>
    <row r="212" spans="1:8" x14ac:dyDescent="0.35">
      <c r="A212" s="266" t="s">
        <v>477</v>
      </c>
      <c r="B212" s="267"/>
      <c r="C212" s="268"/>
      <c r="D212" s="59"/>
      <c r="E212" s="193" t="s">
        <v>2</v>
      </c>
      <c r="F212" s="403" t="str">
        <f>IF(D212="","",IF(D212&lt;0.1*F184,"Does not meet pretreatment criteria",IF(AND(D190="Yes",D191="Yes",D212&lt;F184),"Does not meet design criteria","")))</f>
        <v/>
      </c>
      <c r="G212" s="403"/>
      <c r="H212" s="403"/>
    </row>
    <row r="213" spans="1:8" x14ac:dyDescent="0.35">
      <c r="A213" s="266" t="s">
        <v>504</v>
      </c>
      <c r="B213" s="267"/>
      <c r="C213" s="268"/>
      <c r="D213" s="59"/>
      <c r="E213" s="193" t="s">
        <v>2</v>
      </c>
      <c r="F213" s="403" t="str">
        <f>IF(D213="","",IF(D213&lt;0.9*F184,"Does not meet sizing criteria",""))</f>
        <v/>
      </c>
      <c r="G213" s="403"/>
      <c r="H213" s="403"/>
    </row>
    <row r="214" spans="1:8" x14ac:dyDescent="0.35">
      <c r="A214" s="266" t="s">
        <v>505</v>
      </c>
      <c r="B214" s="267"/>
      <c r="C214" s="268"/>
      <c r="D214" s="59"/>
      <c r="E214" s="193" t="s">
        <v>271</v>
      </c>
      <c r="F214" s="403" t="str">
        <f>IF(D214="","",IF(D214&lt;15,"Does not meet sizing criteria",""))</f>
        <v/>
      </c>
      <c r="G214" s="403"/>
      <c r="H214" s="403"/>
    </row>
    <row r="215" spans="1:8" ht="13" x14ac:dyDescent="0.35">
      <c r="A215" s="390" t="s">
        <v>468</v>
      </c>
      <c r="B215" s="390"/>
      <c r="C215" s="390"/>
      <c r="D215" s="390"/>
      <c r="E215" s="390"/>
      <c r="F215" s="390"/>
      <c r="G215" s="390"/>
      <c r="H215" s="390"/>
    </row>
    <row r="216" spans="1:8" ht="13" x14ac:dyDescent="0.35">
      <c r="A216" s="398" t="s">
        <v>469</v>
      </c>
      <c r="B216" s="399"/>
      <c r="C216" s="400"/>
      <c r="D216" s="150" t="str">
        <f>IF(F184="","",IF(D187&gt;15,0,IF(AND(D188&gt;0.014,D189="No"),0,IF(AND(D189="No",D190="Yes"),0,IF(AND(D189="No",D191="Yes"),0,IF(AND(D189="Yes",D190="Yes",D192&lt;2),0,IF(AND(D191="Yes",D192&lt;2),0,IF(AND(D191="Yes",D212&lt;F184),0,IF(D194="Yes",0,IF(D195="No",0,IF(D196="No",0,IF(D197="No",0,IF(D198="No",0,IF(D199="No",0,IF(D200&lt;1,0,IF(D201&lt;8,0,IF(D202&lt;3,0,IF(D203&lt;24,0,IF(D204&lt;3,0,IF(D205="No",0,IF(D206="No",0,IF(D207="No",0,IF(D208&gt;15,0,IF(D209&lt;12,0,IF(D212&lt;0.1*F184,0,IF(D213&lt;0.9*F184,0,IF(D214&lt;15,0,F184)))))))))))))))))))))))))))</f>
        <v/>
      </c>
      <c r="E216" s="398" t="s">
        <v>2</v>
      </c>
      <c r="F216" s="399"/>
      <c r="G216" s="399"/>
      <c r="H216" s="400"/>
    </row>
    <row r="217" spans="1:8" ht="13" x14ac:dyDescent="0.35">
      <c r="A217" s="16" t="s">
        <v>56</v>
      </c>
      <c r="B217" s="225" t="str">
        <f>IF('STEP 2-WQv Calculation'!$B$4="","",'STEP 2-WQv Calculation'!$B$4)</f>
        <v/>
      </c>
      <c r="C217" s="199"/>
      <c r="D217" s="199"/>
      <c r="E217" s="199"/>
      <c r="F217" s="199"/>
      <c r="G217" s="199"/>
      <c r="H217" s="199"/>
    </row>
    <row r="218" spans="1:8" ht="13" x14ac:dyDescent="0.35">
      <c r="A218" s="241" t="s">
        <v>293</v>
      </c>
      <c r="B218" s="241"/>
      <c r="C218" s="241"/>
      <c r="D218" s="241"/>
      <c r="E218" s="241"/>
      <c r="F218" s="241"/>
      <c r="G218" s="241"/>
      <c r="H218" s="241"/>
    </row>
    <row r="219" spans="1:8" ht="38.5" x14ac:dyDescent="0.35">
      <c r="A219" s="204" t="s">
        <v>60</v>
      </c>
      <c r="B219" s="205" t="s">
        <v>61</v>
      </c>
      <c r="C219" s="205" t="s">
        <v>62</v>
      </c>
      <c r="D219" s="205" t="s">
        <v>63</v>
      </c>
      <c r="E219" s="205" t="s">
        <v>64</v>
      </c>
      <c r="F219" s="205" t="s">
        <v>65</v>
      </c>
      <c r="G219" s="205" t="s">
        <v>244</v>
      </c>
      <c r="H219" s="206" t="s">
        <v>13</v>
      </c>
    </row>
    <row r="220" spans="1:8" x14ac:dyDescent="0.35">
      <c r="A220" s="218"/>
      <c r="B220" s="3" t="str">
        <f>IF($A220="","",(LOOKUP($A220,'STEP 2-WQv Calculation'!$A$8:$A$37,'STEP 2-WQv Calculation'!$B$8:$B$37)))</f>
        <v/>
      </c>
      <c r="C220" s="3" t="str">
        <f>IF($A220="","",(LOOKUP($A220,'STEP 2-WQv Calculation'!$A$8:$A$37,'STEP 2-WQv Calculation'!$C$8:$C$37)))</f>
        <v/>
      </c>
      <c r="D220" s="212" t="str">
        <f>IF($A220="","",(LOOKUP($A220,'STEP 2-WQv Calculation'!$A$8:$A$37,'STEP 2-WQv Calculation'!$D$8:$D$37)))</f>
        <v/>
      </c>
      <c r="E220" s="3" t="str">
        <f>IF($A220="","",(LOOKUP($A220,'STEP 2-WQv Calculation'!$A$8:$A$37,'STEP 2-WQv Calculation'!$E$8:$E$37)))</f>
        <v/>
      </c>
      <c r="F220" s="217" t="str">
        <f>IF($A220="","",(LOOKUP($A220,'STEP 2-WQv Calculation'!$A$8:$A$37,'STEP 2-WQv Calculation'!$F$8:$F$37)))</f>
        <v/>
      </c>
      <c r="G220" s="22">
        <f>'STEP 2-WQv Calculation'!B77</f>
        <v>0</v>
      </c>
      <c r="H220" s="198" t="str">
        <f>IF($A220="","",(LOOKUP($A220,'STEP 2-WQv Calculation'!$A$8:$A$37,'STEP 2-WQv Calculation'!$G$8:$G$37)))</f>
        <v/>
      </c>
    </row>
    <row r="221" spans="1:8" ht="13" x14ac:dyDescent="0.3">
      <c r="A221" s="273" t="s">
        <v>226</v>
      </c>
      <c r="B221" s="273"/>
      <c r="C221" s="273"/>
      <c r="D221" s="273"/>
      <c r="E221" s="273"/>
      <c r="F221" s="273"/>
      <c r="G221" s="273"/>
      <c r="H221" s="273"/>
    </row>
    <row r="222" spans="1:8" x14ac:dyDescent="0.35">
      <c r="A222" s="242" t="s">
        <v>471</v>
      </c>
      <c r="B222" s="243"/>
      <c r="C222" s="244"/>
      <c r="D222" s="211"/>
      <c r="E222" s="401" t="str">
        <f>IF(D222="YES", "A permit is required","")</f>
        <v/>
      </c>
      <c r="F222" s="402"/>
      <c r="G222" s="402"/>
      <c r="H222" s="405"/>
    </row>
    <row r="223" spans="1:8" x14ac:dyDescent="0.35">
      <c r="A223" s="242" t="s">
        <v>472</v>
      </c>
      <c r="B223" s="243"/>
      <c r="C223" s="244"/>
      <c r="D223" s="43"/>
      <c r="E223" s="401" t="str">
        <f>IF(D223&gt;15,"Does not meet feasibility criteria","")</f>
        <v/>
      </c>
      <c r="F223" s="402"/>
      <c r="G223" s="402"/>
      <c r="H223" s="405"/>
    </row>
    <row r="224" spans="1:8" x14ac:dyDescent="0.35">
      <c r="A224" s="242" t="s">
        <v>442</v>
      </c>
      <c r="B224" s="243"/>
      <c r="C224" s="244"/>
      <c r="D224" s="43"/>
      <c r="E224" s="401" t="str">
        <f>IF(D224="","If an impermeable liner is provided, enter 0 in/hr",IF(D224&gt;0.014,"Does not meet feasibility criteria, provide an impermeable liner",""))</f>
        <v>If an impermeable liner is provided, enter 0 in/hr</v>
      </c>
      <c r="F224" s="402"/>
      <c r="G224" s="402"/>
      <c r="H224" s="405"/>
    </row>
    <row r="225" spans="1:8" x14ac:dyDescent="0.35">
      <c r="A225" s="242" t="s">
        <v>443</v>
      </c>
      <c r="B225" s="243"/>
      <c r="C225" s="244"/>
      <c r="D225" s="211"/>
      <c r="E225" s="401" t="str">
        <f>IF(AND(D224&gt;0.014,D225="No"),"Does not meet feasibility criteria","")</f>
        <v/>
      </c>
      <c r="F225" s="402"/>
      <c r="G225" s="402"/>
      <c r="H225" s="405"/>
    </row>
    <row r="226" spans="1:8" x14ac:dyDescent="0.35">
      <c r="A226" s="242" t="s">
        <v>473</v>
      </c>
      <c r="B226" s="243"/>
      <c r="C226" s="244"/>
      <c r="D226" s="211"/>
      <c r="E226" s="401" t="str">
        <f>IF(AND(D225="No",D226="Yes"),"Does not meet feasibility criteria","")</f>
        <v/>
      </c>
      <c r="F226" s="402"/>
      <c r="G226" s="402"/>
      <c r="H226" s="405"/>
    </row>
    <row r="227" spans="1:8" x14ac:dyDescent="0.35">
      <c r="A227" s="242" t="s">
        <v>474</v>
      </c>
      <c r="B227" s="243"/>
      <c r="C227" s="244"/>
      <c r="D227" s="211"/>
      <c r="E227" s="401" t="str">
        <f>IF(AND(D225="Yes",D227="Yes"),"Provide 100% pretreatment",IF(AND(D225="No",D227="Yes"),"Does not meet feasibility criteria",""))</f>
        <v/>
      </c>
      <c r="F227" s="402"/>
      <c r="G227" s="402"/>
      <c r="H227" s="405"/>
    </row>
    <row r="228" spans="1:8" x14ac:dyDescent="0.35">
      <c r="A228" s="242" t="s">
        <v>296</v>
      </c>
      <c r="B228" s="243"/>
      <c r="C228" s="244"/>
      <c r="D228" s="43"/>
      <c r="E228" s="401" t="str">
        <f>IF(AND(D225="No",D226="Yes"),"Does not meet feasibility criteria",IF(AND(D225="No",D227="Yes"),"Does not meet feasibility criteria",IF(AND(D225="Yes",D226="Yes",D228&lt;2),"Does not meet feasibility criteria",IF(AND(D225="Yes",D227="Yes",D228&lt;2),"Does not meet feasibility criteria",""))))</f>
        <v/>
      </c>
      <c r="F228" s="402"/>
      <c r="G228" s="402"/>
      <c r="H228" s="405"/>
    </row>
    <row r="229" spans="1:8" ht="25" x14ac:dyDescent="0.35">
      <c r="A229" s="242" t="s">
        <v>711</v>
      </c>
      <c r="B229" s="406"/>
      <c r="C229" s="407"/>
      <c r="D229" s="218"/>
      <c r="E229" s="218"/>
      <c r="F229" s="218"/>
      <c r="G229" s="198" t="s">
        <v>716</v>
      </c>
      <c r="H229" s="198">
        <f>IF($D229="",0,(LOOKUP($D229,'STEP 2-WQv Calculation'!$A$8:$A$37,'STEP 2-WQv Calculation'!$B$8:$B$37)))+IF($E229="",0,(LOOKUP($E229,'STEP 2-WQv Calculation'!$A$8:$A$37,'STEP 2-WQv Calculation'!$B$8:$B$37)))+IF($F229="",0,(LOOKUP($F229,'STEP 2-WQv Calculation'!$A$8:$A$37,'STEP 2-WQv Calculation'!$B$8:$B$37)))</f>
        <v>0</v>
      </c>
    </row>
    <row r="230" spans="1:8" x14ac:dyDescent="0.35">
      <c r="A230" s="242" t="s">
        <v>494</v>
      </c>
      <c r="B230" s="243"/>
      <c r="C230" s="244"/>
      <c r="D230" s="227" t="str">
        <f>IF(B220="","",IF((B220+H229)&gt;5,"Yes","No"))</f>
        <v/>
      </c>
      <c r="E230" s="401" t="str">
        <f>IF(D230="Yes","Does not meet feasibility criteria","")</f>
        <v/>
      </c>
      <c r="F230" s="402"/>
      <c r="G230" s="402"/>
      <c r="H230" s="405"/>
    </row>
    <row r="231" spans="1:8" x14ac:dyDescent="0.35">
      <c r="A231" s="242" t="s">
        <v>495</v>
      </c>
      <c r="B231" s="243"/>
      <c r="C231" s="244"/>
      <c r="D231" s="211"/>
      <c r="E231" s="401" t="str">
        <f>IF(D231="No","Does not meet conveyance criteria","")</f>
        <v/>
      </c>
      <c r="F231" s="402"/>
      <c r="G231" s="402"/>
      <c r="H231" s="405"/>
    </row>
    <row r="232" spans="1:8" x14ac:dyDescent="0.35">
      <c r="A232" s="242" t="s">
        <v>496</v>
      </c>
      <c r="B232" s="243"/>
      <c r="C232" s="244"/>
      <c r="D232" s="211"/>
      <c r="E232" s="401" t="str">
        <f>IF(D232="No","Does not meet conveyance criteria","")</f>
        <v/>
      </c>
      <c r="F232" s="402"/>
      <c r="G232" s="402"/>
      <c r="H232" s="405"/>
    </row>
    <row r="233" spans="1:8" x14ac:dyDescent="0.35">
      <c r="A233" s="242" t="s">
        <v>497</v>
      </c>
      <c r="B233" s="243"/>
      <c r="C233" s="244"/>
      <c r="D233" s="211"/>
      <c r="E233" s="401" t="str">
        <f>IF(D233="No","Does not meet conveyance criteria","")</f>
        <v/>
      </c>
      <c r="F233" s="402"/>
      <c r="G233" s="402"/>
      <c r="H233" s="405"/>
    </row>
    <row r="234" spans="1:8" x14ac:dyDescent="0.35">
      <c r="A234" s="242" t="s">
        <v>451</v>
      </c>
      <c r="B234" s="243"/>
      <c r="C234" s="244"/>
      <c r="D234" s="211"/>
      <c r="E234" s="401" t="str">
        <f>IF(D234="No","Does not meet conveyance criteria","")</f>
        <v/>
      </c>
      <c r="F234" s="402"/>
      <c r="G234" s="402"/>
      <c r="H234" s="405"/>
    </row>
    <row r="235" spans="1:8" x14ac:dyDescent="0.35">
      <c r="A235" s="242" t="s">
        <v>476</v>
      </c>
      <c r="B235" s="243"/>
      <c r="C235" s="244"/>
      <c r="D235" s="211"/>
      <c r="E235" s="401" t="str">
        <f>IF(D235="No","Does not meet pretreatment criteria","")</f>
        <v/>
      </c>
      <c r="F235" s="402"/>
      <c r="G235" s="402"/>
      <c r="H235" s="405"/>
    </row>
    <row r="236" spans="1:8" x14ac:dyDescent="0.35">
      <c r="A236" s="242" t="s">
        <v>453</v>
      </c>
      <c r="B236" s="243"/>
      <c r="C236" s="244"/>
      <c r="D236" s="43"/>
      <c r="E236" s="401" t="str">
        <f>IF(D236="","",IF(D236&lt;1,"Does not meet design criteria",""))</f>
        <v/>
      </c>
      <c r="F236" s="402"/>
      <c r="G236" s="402"/>
      <c r="H236" s="405"/>
    </row>
    <row r="237" spans="1:8" x14ac:dyDescent="0.35">
      <c r="A237" s="242" t="s">
        <v>286</v>
      </c>
      <c r="B237" s="243"/>
      <c r="C237" s="244"/>
      <c r="D237" s="43"/>
      <c r="E237" s="401" t="str">
        <f>IF(D237="","",IF(D237&lt;8,"Does not meet design criteria",""))</f>
        <v/>
      </c>
      <c r="F237" s="402"/>
      <c r="G237" s="402"/>
      <c r="H237" s="405"/>
    </row>
    <row r="238" spans="1:8" x14ac:dyDescent="0.35">
      <c r="A238" s="242" t="s">
        <v>498</v>
      </c>
      <c r="B238" s="243"/>
      <c r="C238" s="244"/>
      <c r="D238" s="43"/>
      <c r="E238" s="401" t="str">
        <f>IF(D238="","",IF(D238&lt;3,"Does not meet design criteria",""))</f>
        <v/>
      </c>
      <c r="F238" s="402"/>
      <c r="G238" s="402"/>
      <c r="H238" s="405"/>
    </row>
    <row r="239" spans="1:8" x14ac:dyDescent="0.35">
      <c r="A239" s="242" t="s">
        <v>499</v>
      </c>
      <c r="B239" s="243"/>
      <c r="C239" s="244"/>
      <c r="D239" s="43"/>
      <c r="E239" s="401" t="str">
        <f>IF(D239="","",IF(D239&lt;24,"Does not meet design criteria",""))</f>
        <v/>
      </c>
      <c r="F239" s="402"/>
      <c r="G239" s="402"/>
      <c r="H239" s="405"/>
    </row>
    <row r="240" spans="1:8" x14ac:dyDescent="0.35">
      <c r="A240" s="242" t="s">
        <v>500</v>
      </c>
      <c r="B240" s="243"/>
      <c r="C240" s="244"/>
      <c r="D240" s="43"/>
      <c r="E240" s="401" t="str">
        <f>IF(D240="","",IF(D240&lt;3,"Does not meet design criteria",""))</f>
        <v/>
      </c>
      <c r="F240" s="402"/>
      <c r="G240" s="402"/>
      <c r="H240" s="405"/>
    </row>
    <row r="241" spans="1:8" x14ac:dyDescent="0.35">
      <c r="A241" s="242" t="s">
        <v>501</v>
      </c>
      <c r="B241" s="243"/>
      <c r="C241" s="244"/>
      <c r="D241" s="211"/>
      <c r="E241" s="401" t="str">
        <f>IF(D241="No","Does not meet design criteria","")</f>
        <v/>
      </c>
      <c r="F241" s="402"/>
      <c r="G241" s="402"/>
      <c r="H241" s="405"/>
    </row>
    <row r="242" spans="1:8" x14ac:dyDescent="0.35">
      <c r="A242" s="242" t="s">
        <v>502</v>
      </c>
      <c r="B242" s="243"/>
      <c r="C242" s="244"/>
      <c r="D242" s="211"/>
      <c r="E242" s="401" t="str">
        <f>IF(D242="No","Does not meet design criteria","")</f>
        <v/>
      </c>
      <c r="F242" s="402"/>
      <c r="G242" s="402"/>
      <c r="H242" s="405"/>
    </row>
    <row r="243" spans="1:8" x14ac:dyDescent="0.35">
      <c r="A243" s="242" t="s">
        <v>503</v>
      </c>
      <c r="B243" s="243"/>
      <c r="C243" s="244"/>
      <c r="D243" s="211"/>
      <c r="E243" s="401" t="str">
        <f>IF(D243="No","Does not meet design criteria","")</f>
        <v/>
      </c>
      <c r="F243" s="402"/>
      <c r="G243" s="402"/>
      <c r="H243" s="405"/>
    </row>
    <row r="244" spans="1:8" x14ac:dyDescent="0.35">
      <c r="A244" s="242" t="s">
        <v>460</v>
      </c>
      <c r="B244" s="243"/>
      <c r="C244" s="244"/>
      <c r="D244" s="43"/>
      <c r="E244" s="401" t="str">
        <f>IF(D244&gt;15,"Does not meet design criteria","")</f>
        <v/>
      </c>
      <c r="F244" s="402"/>
      <c r="G244" s="402"/>
      <c r="H244" s="405"/>
    </row>
    <row r="245" spans="1:8" x14ac:dyDescent="0.35">
      <c r="A245" s="242" t="s">
        <v>461</v>
      </c>
      <c r="B245" s="243"/>
      <c r="C245" s="244"/>
      <c r="D245" s="43"/>
      <c r="E245" s="401" t="str">
        <f>IF(D245="","",IF(D245&lt;12,"Does not meet design criteria",""))</f>
        <v/>
      </c>
      <c r="F245" s="402"/>
      <c r="G245" s="402"/>
      <c r="H245" s="405"/>
    </row>
    <row r="246" spans="1:8" ht="13" x14ac:dyDescent="0.35">
      <c r="A246" s="241" t="s">
        <v>232</v>
      </c>
      <c r="B246" s="241"/>
      <c r="C246" s="241"/>
      <c r="D246" s="241"/>
      <c r="E246" s="241"/>
      <c r="F246" s="241"/>
      <c r="G246" s="241"/>
      <c r="H246" s="241"/>
    </row>
    <row r="247" spans="1:8" x14ac:dyDescent="0.35">
      <c r="A247" s="378"/>
      <c r="B247" s="379"/>
      <c r="C247" s="380"/>
      <c r="D247" s="222" t="s">
        <v>256</v>
      </c>
      <c r="E247" s="208" t="s">
        <v>257</v>
      </c>
      <c r="F247" s="375" t="s">
        <v>258</v>
      </c>
      <c r="G247" s="376"/>
      <c r="H247" s="377"/>
    </row>
    <row r="248" spans="1:8" x14ac:dyDescent="0.35">
      <c r="A248" s="266" t="s">
        <v>477</v>
      </c>
      <c r="B248" s="267"/>
      <c r="C248" s="268"/>
      <c r="D248" s="59"/>
      <c r="E248" s="193" t="s">
        <v>2</v>
      </c>
      <c r="F248" s="403" t="str">
        <f>IF(D248="","",IF(D248&lt;0.1*F220,"Does not meet pretreatment criteria",IF(AND(D226="Yes",D227="Yes",D248&lt;F220),"Does not meet design criteria","")))</f>
        <v/>
      </c>
      <c r="G248" s="403"/>
      <c r="H248" s="403"/>
    </row>
    <row r="249" spans="1:8" x14ac:dyDescent="0.35">
      <c r="A249" s="266" t="s">
        <v>504</v>
      </c>
      <c r="B249" s="267"/>
      <c r="C249" s="268"/>
      <c r="D249" s="59"/>
      <c r="E249" s="193" t="s">
        <v>2</v>
      </c>
      <c r="F249" s="403" t="str">
        <f>IF(D249="","",IF(D249&lt;0.9*F220,"Does not meet sizing criteria",""))</f>
        <v/>
      </c>
      <c r="G249" s="403"/>
      <c r="H249" s="403"/>
    </row>
    <row r="250" spans="1:8" x14ac:dyDescent="0.35">
      <c r="A250" s="266" t="s">
        <v>505</v>
      </c>
      <c r="B250" s="267"/>
      <c r="C250" s="268"/>
      <c r="D250" s="59"/>
      <c r="E250" s="193" t="s">
        <v>271</v>
      </c>
      <c r="F250" s="403" t="str">
        <f>IF(D250="","",IF(D250&lt;15,"Does not meet sizing criteria",""))</f>
        <v/>
      </c>
      <c r="G250" s="403"/>
      <c r="H250" s="403"/>
    </row>
    <row r="251" spans="1:8" ht="13" x14ac:dyDescent="0.35">
      <c r="A251" s="390" t="s">
        <v>468</v>
      </c>
      <c r="B251" s="390"/>
      <c r="C251" s="390"/>
      <c r="D251" s="390"/>
      <c r="E251" s="390"/>
      <c r="F251" s="390"/>
      <c r="G251" s="390"/>
      <c r="H251" s="390"/>
    </row>
    <row r="252" spans="1:8" ht="13" x14ac:dyDescent="0.35">
      <c r="A252" s="398" t="s">
        <v>469</v>
      </c>
      <c r="B252" s="399"/>
      <c r="C252" s="400"/>
      <c r="D252" s="150" t="str">
        <f>IF(F220="","",IF(D223&gt;15,0,IF(AND(D224&gt;0.014,D225="No"),0,IF(AND(D225="No",D226="Yes"),0,IF(AND(D225="No",D227="Yes"),0,IF(AND(D225="Yes",D226="Yes",D228&lt;2),0,IF(AND(D227="Yes",D228&lt;2),0,IF(AND(D227="Yes",D248&lt;F220),0,IF(D230="Yes",0,IF(D231="No",0,IF(D232="No",0,IF(D233="No",0,IF(D234="No",0,IF(D235="No",0,IF(D236&lt;1,0,IF(D237&lt;8,0,IF(D238&lt;3,0,IF(D239&lt;24,0,IF(D240&lt;3,0,IF(D241="No",0,IF(D242="No",0,IF(D243="No",0,IF(D244&gt;15,0,IF(D245&lt;12,0,IF(D248&lt;0.1*F220,0,IF(D249&lt;0.9*F220,0,IF(D250&lt;15,0,F220)))))))))))))))))))))))))))</f>
        <v/>
      </c>
      <c r="E252" s="398" t="s">
        <v>2</v>
      </c>
      <c r="F252" s="399"/>
      <c r="G252" s="399"/>
      <c r="H252" s="400"/>
    </row>
    <row r="253" spans="1:8" ht="13" x14ac:dyDescent="0.35">
      <c r="A253" s="16" t="s">
        <v>56</v>
      </c>
      <c r="B253" s="225" t="str">
        <f>IF('STEP 2-WQv Calculation'!$B$4="","",'STEP 2-WQv Calculation'!$B$4)</f>
        <v/>
      </c>
      <c r="C253" s="199"/>
      <c r="D253" s="199"/>
      <c r="E253" s="199"/>
      <c r="F253" s="199"/>
      <c r="G253" s="199"/>
      <c r="H253" s="199"/>
    </row>
    <row r="254" spans="1:8" ht="13" x14ac:dyDescent="0.35">
      <c r="A254" s="241" t="s">
        <v>293</v>
      </c>
      <c r="B254" s="241"/>
      <c r="C254" s="241"/>
      <c r="D254" s="241"/>
      <c r="E254" s="241"/>
      <c r="F254" s="241"/>
      <c r="G254" s="241"/>
      <c r="H254" s="241"/>
    </row>
    <row r="255" spans="1:8" ht="38.5" x14ac:dyDescent="0.35">
      <c r="A255" s="204" t="s">
        <v>60</v>
      </c>
      <c r="B255" s="205" t="s">
        <v>61</v>
      </c>
      <c r="C255" s="205" t="s">
        <v>62</v>
      </c>
      <c r="D255" s="205" t="s">
        <v>63</v>
      </c>
      <c r="E255" s="205" t="s">
        <v>64</v>
      </c>
      <c r="F255" s="205" t="s">
        <v>65</v>
      </c>
      <c r="G255" s="205" t="s">
        <v>244</v>
      </c>
      <c r="H255" s="206" t="s">
        <v>13</v>
      </c>
    </row>
    <row r="256" spans="1:8" x14ac:dyDescent="0.35">
      <c r="A256" s="218"/>
      <c r="B256" s="3" t="str">
        <f>IF($A256="","",(LOOKUP($A256,'STEP 2-WQv Calculation'!$A$8:$A$37,'STEP 2-WQv Calculation'!$B$8:$B$37)))</f>
        <v/>
      </c>
      <c r="C256" s="3" t="str">
        <f>IF($A256="","",(LOOKUP($A256,'STEP 2-WQv Calculation'!$A$8:$A$37,'STEP 2-WQv Calculation'!$C$8:$C$37)))</f>
        <v/>
      </c>
      <c r="D256" s="212" t="str">
        <f>IF($A256="","",(LOOKUP($A256,'STEP 2-WQv Calculation'!$A$8:$A$37,'STEP 2-WQv Calculation'!$D$8:$D$37)))</f>
        <v/>
      </c>
      <c r="E256" s="3" t="str">
        <f>IF($A256="","",(LOOKUP($A256,'STEP 2-WQv Calculation'!$A$8:$A$37,'STEP 2-WQv Calculation'!$E$8:$E$37)))</f>
        <v/>
      </c>
      <c r="F256" s="217" t="str">
        <f>IF($A256="","",(LOOKUP($A256,'STEP 2-WQv Calculation'!$A$8:$A$37,'STEP 2-WQv Calculation'!$F$8:$F$37)))</f>
        <v/>
      </c>
      <c r="G256" s="22">
        <f>'STEP 2-WQv Calculation'!B113</f>
        <v>0</v>
      </c>
      <c r="H256" s="198" t="str">
        <f>IF($A256="","",(LOOKUP($A256,'STEP 2-WQv Calculation'!$A$8:$A$37,'STEP 2-WQv Calculation'!$G$8:$G$37)))</f>
        <v/>
      </c>
    </row>
    <row r="257" spans="1:8" ht="13" x14ac:dyDescent="0.3">
      <c r="A257" s="273" t="s">
        <v>226</v>
      </c>
      <c r="B257" s="273"/>
      <c r="C257" s="273"/>
      <c r="D257" s="273"/>
      <c r="E257" s="273"/>
      <c r="F257" s="273"/>
      <c r="G257" s="273"/>
      <c r="H257" s="273"/>
    </row>
    <row r="258" spans="1:8" x14ac:dyDescent="0.35">
      <c r="A258" s="242" t="s">
        <v>471</v>
      </c>
      <c r="B258" s="243"/>
      <c r="C258" s="244"/>
      <c r="D258" s="211"/>
      <c r="E258" s="401" t="str">
        <f>IF(D258="YES", "A permit is required","")</f>
        <v/>
      </c>
      <c r="F258" s="402"/>
      <c r="G258" s="402"/>
      <c r="H258" s="405"/>
    </row>
    <row r="259" spans="1:8" x14ac:dyDescent="0.35">
      <c r="A259" s="242" t="s">
        <v>472</v>
      </c>
      <c r="B259" s="243"/>
      <c r="C259" s="244"/>
      <c r="D259" s="43"/>
      <c r="E259" s="401" t="str">
        <f>IF(D259&gt;15,"Does not meet feasibility criteria","")</f>
        <v/>
      </c>
      <c r="F259" s="402"/>
      <c r="G259" s="402"/>
      <c r="H259" s="405"/>
    </row>
    <row r="260" spans="1:8" x14ac:dyDescent="0.35">
      <c r="A260" s="242" t="s">
        <v>442</v>
      </c>
      <c r="B260" s="243"/>
      <c r="C260" s="244"/>
      <c r="D260" s="43"/>
      <c r="E260" s="401" t="str">
        <f>IF(D260="","If an impermeable liner is provided, enter 0 in/hr",IF(D260&gt;0.014,"Does not meet feasibility criteria, provide an impermeable liner",""))</f>
        <v>If an impermeable liner is provided, enter 0 in/hr</v>
      </c>
      <c r="F260" s="402"/>
      <c r="G260" s="402"/>
      <c r="H260" s="405"/>
    </row>
    <row r="261" spans="1:8" x14ac:dyDescent="0.35">
      <c r="A261" s="242" t="s">
        <v>443</v>
      </c>
      <c r="B261" s="243"/>
      <c r="C261" s="244"/>
      <c r="D261" s="211"/>
      <c r="E261" s="401" t="str">
        <f>IF(AND(D260&gt;0.014,D261="No"),"Does not meet feasibility criteria","")</f>
        <v/>
      </c>
      <c r="F261" s="402"/>
      <c r="G261" s="402"/>
      <c r="H261" s="405"/>
    </row>
    <row r="262" spans="1:8" x14ac:dyDescent="0.35">
      <c r="A262" s="242" t="s">
        <v>473</v>
      </c>
      <c r="B262" s="243"/>
      <c r="C262" s="244"/>
      <c r="D262" s="211"/>
      <c r="E262" s="401" t="str">
        <f>IF(AND(D261="No",D262="Yes"),"Does not meet feasibility criteria","")</f>
        <v/>
      </c>
      <c r="F262" s="402"/>
      <c r="G262" s="402"/>
      <c r="H262" s="405"/>
    </row>
    <row r="263" spans="1:8" x14ac:dyDescent="0.35">
      <c r="A263" s="242" t="s">
        <v>474</v>
      </c>
      <c r="B263" s="243"/>
      <c r="C263" s="244"/>
      <c r="D263" s="211"/>
      <c r="E263" s="401" t="str">
        <f>IF(AND(D261="Yes",D263="Yes"),"Provide 100% pretreatment",IF(AND(D261="No",D263="Yes"),"Does not meet feasibility criteria",""))</f>
        <v/>
      </c>
      <c r="F263" s="402"/>
      <c r="G263" s="402"/>
      <c r="H263" s="405"/>
    </row>
    <row r="264" spans="1:8" x14ac:dyDescent="0.35">
      <c r="A264" s="242" t="s">
        <v>296</v>
      </c>
      <c r="B264" s="243"/>
      <c r="C264" s="244"/>
      <c r="D264" s="43"/>
      <c r="E264" s="401" t="str">
        <f>IF(AND(D261="No",D262="Yes"),"Does not meet feasibility criteria",IF(AND(D261="No",D263="Yes"),"Does not meet feasibility criteria",IF(AND(D261="Yes",D262="Yes",D264&lt;2),"Does not meet feasibility criteria",IF(AND(D261="Yes",D263="Yes",D264&lt;2),"Does not meet feasibility criteria",""))))</f>
        <v/>
      </c>
      <c r="F264" s="402"/>
      <c r="G264" s="402"/>
      <c r="H264" s="405"/>
    </row>
    <row r="265" spans="1:8" ht="25" x14ac:dyDescent="0.35">
      <c r="A265" s="242" t="s">
        <v>711</v>
      </c>
      <c r="B265" s="406"/>
      <c r="C265" s="407"/>
      <c r="D265" s="218"/>
      <c r="E265" s="218"/>
      <c r="F265" s="218"/>
      <c r="G265" s="198" t="s">
        <v>716</v>
      </c>
      <c r="H265" s="198">
        <f>IF($D265="",0,(LOOKUP($D265,'STEP 2-WQv Calculation'!$A$8:$A$37,'STEP 2-WQv Calculation'!$B$8:$B$37)))+IF($E265="",0,(LOOKUP($E265,'STEP 2-WQv Calculation'!$A$8:$A$37,'STEP 2-WQv Calculation'!$B$8:$B$37)))+IF($F265="",0,(LOOKUP($F265,'STEP 2-WQv Calculation'!$A$8:$A$37,'STEP 2-WQv Calculation'!$B$8:$B$37)))</f>
        <v>0</v>
      </c>
    </row>
    <row r="266" spans="1:8" x14ac:dyDescent="0.35">
      <c r="A266" s="242" t="s">
        <v>494</v>
      </c>
      <c r="B266" s="243"/>
      <c r="C266" s="244"/>
      <c r="D266" s="227" t="str">
        <f>IF(B256="","",IF((B256+H265)&gt;5,"Yes","No"))</f>
        <v/>
      </c>
      <c r="E266" s="401" t="str">
        <f>IF(D266="Yes","Does not meet feasibility criteria","")</f>
        <v/>
      </c>
      <c r="F266" s="402"/>
      <c r="G266" s="402"/>
      <c r="H266" s="405"/>
    </row>
    <row r="267" spans="1:8" x14ac:dyDescent="0.35">
      <c r="A267" s="242" t="s">
        <v>495</v>
      </c>
      <c r="B267" s="243"/>
      <c r="C267" s="244"/>
      <c r="D267" s="211"/>
      <c r="E267" s="401" t="str">
        <f>IF(D267="No","Does not meet conveyance criteria","")</f>
        <v/>
      </c>
      <c r="F267" s="402"/>
      <c r="G267" s="402"/>
      <c r="H267" s="405"/>
    </row>
    <row r="268" spans="1:8" x14ac:dyDescent="0.35">
      <c r="A268" s="242" t="s">
        <v>496</v>
      </c>
      <c r="B268" s="243"/>
      <c r="C268" s="244"/>
      <c r="D268" s="211"/>
      <c r="E268" s="401" t="str">
        <f>IF(D268="No","Does not meet conveyance criteria","")</f>
        <v/>
      </c>
      <c r="F268" s="402"/>
      <c r="G268" s="402"/>
      <c r="H268" s="405"/>
    </row>
    <row r="269" spans="1:8" x14ac:dyDescent="0.35">
      <c r="A269" s="242" t="s">
        <v>497</v>
      </c>
      <c r="B269" s="243"/>
      <c r="C269" s="244"/>
      <c r="D269" s="211"/>
      <c r="E269" s="401" t="str">
        <f>IF(D269="No","Does not meet conveyance criteria","")</f>
        <v/>
      </c>
      <c r="F269" s="402"/>
      <c r="G269" s="402"/>
      <c r="H269" s="405"/>
    </row>
    <row r="270" spans="1:8" x14ac:dyDescent="0.35">
      <c r="A270" s="242" t="s">
        <v>451</v>
      </c>
      <c r="B270" s="243"/>
      <c r="C270" s="244"/>
      <c r="D270" s="211"/>
      <c r="E270" s="401" t="str">
        <f>IF(D270="No","Does not meet conveyance criteria","")</f>
        <v/>
      </c>
      <c r="F270" s="402"/>
      <c r="G270" s="402"/>
      <c r="H270" s="405"/>
    </row>
    <row r="271" spans="1:8" x14ac:dyDescent="0.35">
      <c r="A271" s="242" t="s">
        <v>476</v>
      </c>
      <c r="B271" s="243"/>
      <c r="C271" s="244"/>
      <c r="D271" s="211"/>
      <c r="E271" s="401" t="str">
        <f>IF(D271="No","Does not meet pretreatment criteria","")</f>
        <v/>
      </c>
      <c r="F271" s="402"/>
      <c r="G271" s="402"/>
      <c r="H271" s="405"/>
    </row>
    <row r="272" spans="1:8" x14ac:dyDescent="0.35">
      <c r="A272" s="242" t="s">
        <v>453</v>
      </c>
      <c r="B272" s="243"/>
      <c r="C272" s="244"/>
      <c r="D272" s="43"/>
      <c r="E272" s="401" t="str">
        <f>IF(D272="","",IF(D272&lt;1,"Does not meet design criteria",""))</f>
        <v/>
      </c>
      <c r="F272" s="402"/>
      <c r="G272" s="402"/>
      <c r="H272" s="405"/>
    </row>
    <row r="273" spans="1:8" x14ac:dyDescent="0.35">
      <c r="A273" s="242" t="s">
        <v>286</v>
      </c>
      <c r="B273" s="243"/>
      <c r="C273" s="244"/>
      <c r="D273" s="43"/>
      <c r="E273" s="401" t="str">
        <f>IF(D273="","",IF(D273&lt;8,"Does not meet design criteria",""))</f>
        <v/>
      </c>
      <c r="F273" s="402"/>
      <c r="G273" s="402"/>
      <c r="H273" s="405"/>
    </row>
    <row r="274" spans="1:8" x14ac:dyDescent="0.35">
      <c r="A274" s="242" t="s">
        <v>498</v>
      </c>
      <c r="B274" s="243"/>
      <c r="C274" s="244"/>
      <c r="D274" s="43"/>
      <c r="E274" s="401" t="str">
        <f>IF(D274="","",IF(D274&lt;3,"Does not meet design criteria",""))</f>
        <v/>
      </c>
      <c r="F274" s="402"/>
      <c r="G274" s="402"/>
      <c r="H274" s="405"/>
    </row>
    <row r="275" spans="1:8" x14ac:dyDescent="0.35">
      <c r="A275" s="242" t="s">
        <v>499</v>
      </c>
      <c r="B275" s="243"/>
      <c r="C275" s="244"/>
      <c r="D275" s="43"/>
      <c r="E275" s="401" t="str">
        <f>IF(D275="","",IF(D275&lt;24,"Does not meet design criteria",""))</f>
        <v/>
      </c>
      <c r="F275" s="402"/>
      <c r="G275" s="402"/>
      <c r="H275" s="405"/>
    </row>
    <row r="276" spans="1:8" x14ac:dyDescent="0.35">
      <c r="A276" s="242" t="s">
        <v>500</v>
      </c>
      <c r="B276" s="243"/>
      <c r="C276" s="244"/>
      <c r="D276" s="43"/>
      <c r="E276" s="401" t="str">
        <f>IF(D276="","",IF(D276&lt;3,"Does not meet design criteria",""))</f>
        <v/>
      </c>
      <c r="F276" s="402"/>
      <c r="G276" s="402"/>
      <c r="H276" s="405"/>
    </row>
    <row r="277" spans="1:8" x14ac:dyDescent="0.35">
      <c r="A277" s="242" t="s">
        <v>501</v>
      </c>
      <c r="B277" s="243"/>
      <c r="C277" s="244"/>
      <c r="D277" s="211"/>
      <c r="E277" s="401" t="str">
        <f>IF(D277="No","Does not meet design criteria","")</f>
        <v/>
      </c>
      <c r="F277" s="402"/>
      <c r="G277" s="402"/>
      <c r="H277" s="405"/>
    </row>
    <row r="278" spans="1:8" x14ac:dyDescent="0.35">
      <c r="A278" s="242" t="s">
        <v>502</v>
      </c>
      <c r="B278" s="243"/>
      <c r="C278" s="244"/>
      <c r="D278" s="211"/>
      <c r="E278" s="401" t="str">
        <f>IF(D278="No","Does not meet design criteria","")</f>
        <v/>
      </c>
      <c r="F278" s="402"/>
      <c r="G278" s="402"/>
      <c r="H278" s="405"/>
    </row>
    <row r="279" spans="1:8" x14ac:dyDescent="0.35">
      <c r="A279" s="242" t="s">
        <v>503</v>
      </c>
      <c r="B279" s="243"/>
      <c r="C279" s="244"/>
      <c r="D279" s="211"/>
      <c r="E279" s="401" t="str">
        <f>IF(D279="No","Does not meet design criteria","")</f>
        <v/>
      </c>
      <c r="F279" s="402"/>
      <c r="G279" s="402"/>
      <c r="H279" s="405"/>
    </row>
    <row r="280" spans="1:8" x14ac:dyDescent="0.35">
      <c r="A280" s="242" t="s">
        <v>460</v>
      </c>
      <c r="B280" s="243"/>
      <c r="C280" s="244"/>
      <c r="D280" s="43"/>
      <c r="E280" s="401" t="str">
        <f>IF(D280&gt;15,"Does not meet design criteria","")</f>
        <v/>
      </c>
      <c r="F280" s="402"/>
      <c r="G280" s="402"/>
      <c r="H280" s="405"/>
    </row>
    <row r="281" spans="1:8" x14ac:dyDescent="0.35">
      <c r="A281" s="242" t="s">
        <v>461</v>
      </c>
      <c r="B281" s="243"/>
      <c r="C281" s="244"/>
      <c r="D281" s="43"/>
      <c r="E281" s="401" t="str">
        <f>IF(D281="","",IF(D281&lt;12,"Does not meet design criteria",""))</f>
        <v/>
      </c>
      <c r="F281" s="402"/>
      <c r="G281" s="402"/>
      <c r="H281" s="405"/>
    </row>
    <row r="282" spans="1:8" ht="13" x14ac:dyDescent="0.35">
      <c r="A282" s="241" t="s">
        <v>232</v>
      </c>
      <c r="B282" s="241"/>
      <c r="C282" s="241"/>
      <c r="D282" s="241"/>
      <c r="E282" s="241"/>
      <c r="F282" s="241"/>
      <c r="G282" s="241"/>
      <c r="H282" s="241"/>
    </row>
    <row r="283" spans="1:8" x14ac:dyDescent="0.35">
      <c r="A283" s="378"/>
      <c r="B283" s="379"/>
      <c r="C283" s="380"/>
      <c r="D283" s="222" t="s">
        <v>256</v>
      </c>
      <c r="E283" s="208" t="s">
        <v>257</v>
      </c>
      <c r="F283" s="375" t="s">
        <v>258</v>
      </c>
      <c r="G283" s="376"/>
      <c r="H283" s="377"/>
    </row>
    <row r="284" spans="1:8" x14ac:dyDescent="0.35">
      <c r="A284" s="266" t="s">
        <v>477</v>
      </c>
      <c r="B284" s="267"/>
      <c r="C284" s="268"/>
      <c r="D284" s="59"/>
      <c r="E284" s="193" t="s">
        <v>2</v>
      </c>
      <c r="F284" s="403" t="str">
        <f>IF(D284="","",IF(D284&lt;0.1*F256,"Does not meet pretreatment criteria",IF(AND(D262="Yes",D263="Yes",D284&lt;F256),"Does not meet design criteria","")))</f>
        <v/>
      </c>
      <c r="G284" s="403"/>
      <c r="H284" s="403"/>
    </row>
    <row r="285" spans="1:8" x14ac:dyDescent="0.35">
      <c r="A285" s="266" t="s">
        <v>504</v>
      </c>
      <c r="B285" s="267"/>
      <c r="C285" s="268"/>
      <c r="D285" s="59"/>
      <c r="E285" s="193" t="s">
        <v>2</v>
      </c>
      <c r="F285" s="403" t="str">
        <f>IF(D285="","",IF(D285&lt;0.9*F256,"Does not meet sizing criteria",""))</f>
        <v/>
      </c>
      <c r="G285" s="403"/>
      <c r="H285" s="403"/>
    </row>
    <row r="286" spans="1:8" x14ac:dyDescent="0.35">
      <c r="A286" s="266" t="s">
        <v>505</v>
      </c>
      <c r="B286" s="267"/>
      <c r="C286" s="268"/>
      <c r="D286" s="59"/>
      <c r="E286" s="193" t="s">
        <v>271</v>
      </c>
      <c r="F286" s="403" t="str">
        <f>IF(D286="","",IF(D286&lt;15,"Does not meet sizing criteria",""))</f>
        <v/>
      </c>
      <c r="G286" s="403"/>
      <c r="H286" s="403"/>
    </row>
    <row r="287" spans="1:8" ht="13" x14ac:dyDescent="0.35">
      <c r="A287" s="390" t="s">
        <v>468</v>
      </c>
      <c r="B287" s="390"/>
      <c r="C287" s="390"/>
      <c r="D287" s="390"/>
      <c r="E287" s="390"/>
      <c r="F287" s="390"/>
      <c r="G287" s="390"/>
      <c r="H287" s="390"/>
    </row>
    <row r="288" spans="1:8" ht="13" x14ac:dyDescent="0.35">
      <c r="A288" s="398" t="s">
        <v>469</v>
      </c>
      <c r="B288" s="399"/>
      <c r="C288" s="400"/>
      <c r="D288" s="150" t="str">
        <f>IF(F256="","",IF(D259&gt;15,0,IF(AND(D260&gt;0.014,D261="No"),0,IF(AND(D261="No",D262="Yes"),0,IF(AND(D261="No",D263="Yes"),0,IF(AND(D261="Yes",D262="Yes",D264&lt;2),0,IF(AND(D263="Yes",D264&lt;2),0,IF(AND(D263="Yes",D284&lt;F256),0,IF(D266="Yes",0,IF(D267="No",0,IF(D268="No",0,IF(D269="No",0,IF(D270="No",0,IF(D271="No",0,IF(D272&lt;1,0,IF(D273&lt;8,0,IF(D274&lt;3,0,IF(D275&lt;24,0,IF(D276&lt;3,0,IF(D277="No",0,IF(D278="No",0,IF(D279="No",0,IF(D280&gt;15,0,IF(D281&lt;12,0,IF(D284&lt;0.1*F256,0,IF(D285&lt;0.9*F256,0,IF(D286&lt;15,0,F256)))))))))))))))))))))))))))</f>
        <v/>
      </c>
      <c r="E288" s="398" t="s">
        <v>2</v>
      </c>
      <c r="F288" s="399"/>
      <c r="G288" s="399"/>
      <c r="H288" s="400"/>
    </row>
    <row r="289" spans="1:8" ht="13" x14ac:dyDescent="0.35">
      <c r="A289" s="16" t="s">
        <v>56</v>
      </c>
      <c r="B289" s="225" t="str">
        <f>IF('STEP 2-WQv Calculation'!$B$4="","",'STEP 2-WQv Calculation'!$B$4)</f>
        <v/>
      </c>
      <c r="C289" s="199"/>
      <c r="D289" s="199"/>
      <c r="E289" s="199"/>
      <c r="F289" s="199"/>
      <c r="G289" s="199"/>
      <c r="H289" s="199"/>
    </row>
    <row r="290" spans="1:8" ht="13" x14ac:dyDescent="0.35">
      <c r="A290" s="241" t="s">
        <v>293</v>
      </c>
      <c r="B290" s="241"/>
      <c r="C290" s="241"/>
      <c r="D290" s="241"/>
      <c r="E290" s="241"/>
      <c r="F290" s="241"/>
      <c r="G290" s="241"/>
      <c r="H290" s="241"/>
    </row>
    <row r="291" spans="1:8" ht="38.5" x14ac:dyDescent="0.35">
      <c r="A291" s="204" t="s">
        <v>60</v>
      </c>
      <c r="B291" s="205" t="s">
        <v>61</v>
      </c>
      <c r="C291" s="205" t="s">
        <v>62</v>
      </c>
      <c r="D291" s="205" t="s">
        <v>63</v>
      </c>
      <c r="E291" s="205" t="s">
        <v>64</v>
      </c>
      <c r="F291" s="205" t="s">
        <v>65</v>
      </c>
      <c r="G291" s="205" t="s">
        <v>244</v>
      </c>
      <c r="H291" s="206" t="s">
        <v>13</v>
      </c>
    </row>
    <row r="292" spans="1:8" x14ac:dyDescent="0.35">
      <c r="A292" s="218"/>
      <c r="B292" s="3" t="str">
        <f>IF($A292="","",(LOOKUP($A292,'STEP 2-WQv Calculation'!$A$8:$A$37,'STEP 2-WQv Calculation'!$B$8:$B$37)))</f>
        <v/>
      </c>
      <c r="C292" s="3" t="str">
        <f>IF($A292="","",(LOOKUP($A292,'STEP 2-WQv Calculation'!$A$8:$A$37,'STEP 2-WQv Calculation'!$C$8:$C$37)))</f>
        <v/>
      </c>
      <c r="D292" s="212" t="str">
        <f>IF($A292="","",(LOOKUP($A292,'STEP 2-WQv Calculation'!$A$8:$A$37,'STEP 2-WQv Calculation'!$D$8:$D$37)))</f>
        <v/>
      </c>
      <c r="E292" s="3" t="str">
        <f>IF($A292="","",(LOOKUP($A292,'STEP 2-WQv Calculation'!$A$8:$A$37,'STEP 2-WQv Calculation'!$E$8:$E$37)))</f>
        <v/>
      </c>
      <c r="F292" s="217" t="str">
        <f>IF($A292="","",(LOOKUP($A292,'STEP 2-WQv Calculation'!$A$8:$A$37,'STEP 2-WQv Calculation'!$F$8:$F$37)))</f>
        <v/>
      </c>
      <c r="G292" s="22">
        <f>'STEP 2-WQv Calculation'!B149</f>
        <v>0</v>
      </c>
      <c r="H292" s="198" t="str">
        <f>IF($A292="","",(LOOKUP($A292,'STEP 2-WQv Calculation'!$A$8:$A$37,'STEP 2-WQv Calculation'!$G$8:$G$37)))</f>
        <v/>
      </c>
    </row>
    <row r="293" spans="1:8" ht="13" x14ac:dyDescent="0.3">
      <c r="A293" s="273" t="s">
        <v>226</v>
      </c>
      <c r="B293" s="273"/>
      <c r="C293" s="273"/>
      <c r="D293" s="273"/>
      <c r="E293" s="273"/>
      <c r="F293" s="273"/>
      <c r="G293" s="273"/>
      <c r="H293" s="273"/>
    </row>
    <row r="294" spans="1:8" x14ac:dyDescent="0.35">
      <c r="A294" s="242" t="s">
        <v>471</v>
      </c>
      <c r="B294" s="243"/>
      <c r="C294" s="244"/>
      <c r="D294" s="211"/>
      <c r="E294" s="401" t="str">
        <f>IF(D294="YES", "A permit is required","")</f>
        <v/>
      </c>
      <c r="F294" s="402"/>
      <c r="G294" s="402"/>
      <c r="H294" s="405"/>
    </row>
    <row r="295" spans="1:8" x14ac:dyDescent="0.35">
      <c r="A295" s="242" t="s">
        <v>472</v>
      </c>
      <c r="B295" s="243"/>
      <c r="C295" s="244"/>
      <c r="D295" s="43"/>
      <c r="E295" s="401" t="str">
        <f>IF(D295&gt;15,"Does not meet feasibility criteria","")</f>
        <v/>
      </c>
      <c r="F295" s="402"/>
      <c r="G295" s="402"/>
      <c r="H295" s="405"/>
    </row>
    <row r="296" spans="1:8" x14ac:dyDescent="0.35">
      <c r="A296" s="242" t="s">
        <v>442</v>
      </c>
      <c r="B296" s="243"/>
      <c r="C296" s="244"/>
      <c r="D296" s="43"/>
      <c r="E296" s="401" t="str">
        <f>IF(D296="","If an impermeable liner is provided, enter 0 in/hr",IF(D296&gt;0.014,"Does not meet feasibility criteria, provide an impermeable liner",""))</f>
        <v>If an impermeable liner is provided, enter 0 in/hr</v>
      </c>
      <c r="F296" s="402"/>
      <c r="G296" s="402"/>
      <c r="H296" s="405"/>
    </row>
    <row r="297" spans="1:8" x14ac:dyDescent="0.35">
      <c r="A297" s="242" t="s">
        <v>443</v>
      </c>
      <c r="B297" s="243"/>
      <c r="C297" s="244"/>
      <c r="D297" s="211"/>
      <c r="E297" s="401" t="str">
        <f>IF(AND(D296&gt;0.014,D297="No"),"Does not meet feasibility criteria","")</f>
        <v/>
      </c>
      <c r="F297" s="402"/>
      <c r="G297" s="402"/>
      <c r="H297" s="405"/>
    </row>
    <row r="298" spans="1:8" x14ac:dyDescent="0.35">
      <c r="A298" s="242" t="s">
        <v>473</v>
      </c>
      <c r="B298" s="243"/>
      <c r="C298" s="244"/>
      <c r="D298" s="211"/>
      <c r="E298" s="401" t="str">
        <f>IF(AND(D297="No",D298="Yes"),"Does not meet feasibility criteria","")</f>
        <v/>
      </c>
      <c r="F298" s="402"/>
      <c r="G298" s="402"/>
      <c r="H298" s="405"/>
    </row>
    <row r="299" spans="1:8" x14ac:dyDescent="0.35">
      <c r="A299" s="242" t="s">
        <v>474</v>
      </c>
      <c r="B299" s="243"/>
      <c r="C299" s="244"/>
      <c r="D299" s="211"/>
      <c r="E299" s="401" t="str">
        <f>IF(AND(D297="Yes",D299="Yes"),"Provide 100% pretreatment",IF(AND(D297="No",D299="Yes"),"Does not meet feasibility criteria",""))</f>
        <v/>
      </c>
      <c r="F299" s="402"/>
      <c r="G299" s="402"/>
      <c r="H299" s="405"/>
    </row>
    <row r="300" spans="1:8" x14ac:dyDescent="0.35">
      <c r="A300" s="242" t="s">
        <v>296</v>
      </c>
      <c r="B300" s="243"/>
      <c r="C300" s="244"/>
      <c r="D300" s="43"/>
      <c r="E300" s="401" t="str">
        <f>IF(AND(D297="No",D298="Yes"),"Does not meet feasibility criteria",IF(AND(D297="No",D299="Yes"),"Does not meet feasibility criteria",IF(AND(D297="Yes",D298="Yes",D300&lt;2),"Does not meet feasibility criteria",IF(AND(D297="Yes",D299="Yes",D300&lt;2),"Does not meet feasibility criteria",""))))</f>
        <v/>
      </c>
      <c r="F300" s="402"/>
      <c r="G300" s="402"/>
      <c r="H300" s="405"/>
    </row>
    <row r="301" spans="1:8" ht="25" x14ac:dyDescent="0.35">
      <c r="A301" s="242" t="s">
        <v>711</v>
      </c>
      <c r="B301" s="406"/>
      <c r="C301" s="407"/>
      <c r="D301" s="218"/>
      <c r="E301" s="218"/>
      <c r="F301" s="218"/>
      <c r="G301" s="198" t="s">
        <v>716</v>
      </c>
      <c r="H301" s="198">
        <f>IF($D301="",0,(LOOKUP($D301,'STEP 2-WQv Calculation'!$A$8:$A$37,'STEP 2-WQv Calculation'!$B$8:$B$37)))+IF($E301="",0,(LOOKUP($E301,'STEP 2-WQv Calculation'!$A$8:$A$37,'STEP 2-WQv Calculation'!$B$8:$B$37)))+IF($F301="",0,(LOOKUP($F301,'STEP 2-WQv Calculation'!$A$8:$A$37,'STEP 2-WQv Calculation'!$B$8:$B$37)))</f>
        <v>0</v>
      </c>
    </row>
    <row r="302" spans="1:8" x14ac:dyDescent="0.35">
      <c r="A302" s="242" t="s">
        <v>494</v>
      </c>
      <c r="B302" s="243"/>
      <c r="C302" s="244"/>
      <c r="D302" s="227" t="str">
        <f>IF(B292="","",IF((B292+H301)&gt;5,"Yes","No"))</f>
        <v/>
      </c>
      <c r="E302" s="401" t="str">
        <f>IF(D302="Yes","Does not meet feasibility criteria","")</f>
        <v/>
      </c>
      <c r="F302" s="402"/>
      <c r="G302" s="402"/>
      <c r="H302" s="405"/>
    </row>
    <row r="303" spans="1:8" x14ac:dyDescent="0.35">
      <c r="A303" s="242" t="s">
        <v>495</v>
      </c>
      <c r="B303" s="243"/>
      <c r="C303" s="244"/>
      <c r="D303" s="211"/>
      <c r="E303" s="401" t="str">
        <f>IF(D303="No","Does not meet conveyance criteria","")</f>
        <v/>
      </c>
      <c r="F303" s="402"/>
      <c r="G303" s="402"/>
      <c r="H303" s="405"/>
    </row>
    <row r="304" spans="1:8" x14ac:dyDescent="0.35">
      <c r="A304" s="242" t="s">
        <v>496</v>
      </c>
      <c r="B304" s="243"/>
      <c r="C304" s="244"/>
      <c r="D304" s="211"/>
      <c r="E304" s="401" t="str">
        <f>IF(D304="No","Does not meet conveyance criteria","")</f>
        <v/>
      </c>
      <c r="F304" s="402"/>
      <c r="G304" s="402"/>
      <c r="H304" s="405"/>
    </row>
    <row r="305" spans="1:8" x14ac:dyDescent="0.35">
      <c r="A305" s="242" t="s">
        <v>497</v>
      </c>
      <c r="B305" s="243"/>
      <c r="C305" s="244"/>
      <c r="D305" s="211"/>
      <c r="E305" s="401" t="str">
        <f>IF(D305="No","Does not meet conveyance criteria","")</f>
        <v/>
      </c>
      <c r="F305" s="402"/>
      <c r="G305" s="402"/>
      <c r="H305" s="405"/>
    </row>
    <row r="306" spans="1:8" x14ac:dyDescent="0.35">
      <c r="A306" s="242" t="s">
        <v>451</v>
      </c>
      <c r="B306" s="243"/>
      <c r="C306" s="244"/>
      <c r="D306" s="211"/>
      <c r="E306" s="401" t="str">
        <f>IF(D306="No","Does not meet conveyance criteria","")</f>
        <v/>
      </c>
      <c r="F306" s="402"/>
      <c r="G306" s="402"/>
      <c r="H306" s="405"/>
    </row>
    <row r="307" spans="1:8" x14ac:dyDescent="0.35">
      <c r="A307" s="242" t="s">
        <v>476</v>
      </c>
      <c r="B307" s="243"/>
      <c r="C307" s="244"/>
      <c r="D307" s="211"/>
      <c r="E307" s="401" t="str">
        <f>IF(D307="No","Does not meet pretreatment criteria","")</f>
        <v/>
      </c>
      <c r="F307" s="402"/>
      <c r="G307" s="402"/>
      <c r="H307" s="405"/>
    </row>
    <row r="308" spans="1:8" x14ac:dyDescent="0.35">
      <c r="A308" s="242" t="s">
        <v>453</v>
      </c>
      <c r="B308" s="243"/>
      <c r="C308" s="244"/>
      <c r="D308" s="43"/>
      <c r="E308" s="401" t="str">
        <f>IF(D308="","",IF(D308&lt;1,"Does not meet design criteria",""))</f>
        <v/>
      </c>
      <c r="F308" s="402"/>
      <c r="G308" s="402"/>
      <c r="H308" s="405"/>
    </row>
    <row r="309" spans="1:8" x14ac:dyDescent="0.35">
      <c r="A309" s="242" t="s">
        <v>286</v>
      </c>
      <c r="B309" s="243"/>
      <c r="C309" s="244"/>
      <c r="D309" s="43"/>
      <c r="E309" s="401" t="str">
        <f>IF(D309="","",IF(D309&lt;8,"Does not meet design criteria",""))</f>
        <v/>
      </c>
      <c r="F309" s="402"/>
      <c r="G309" s="402"/>
      <c r="H309" s="405"/>
    </row>
    <row r="310" spans="1:8" x14ac:dyDescent="0.35">
      <c r="A310" s="242" t="s">
        <v>498</v>
      </c>
      <c r="B310" s="243"/>
      <c r="C310" s="244"/>
      <c r="D310" s="43"/>
      <c r="E310" s="401" t="str">
        <f>IF(D310="","",IF(D310&lt;3,"Does not meet design criteria",""))</f>
        <v/>
      </c>
      <c r="F310" s="402"/>
      <c r="G310" s="402"/>
      <c r="H310" s="405"/>
    </row>
    <row r="311" spans="1:8" x14ac:dyDescent="0.35">
      <c r="A311" s="242" t="s">
        <v>499</v>
      </c>
      <c r="B311" s="243"/>
      <c r="C311" s="244"/>
      <c r="D311" s="43"/>
      <c r="E311" s="401" t="str">
        <f>IF(D311="","",IF(D311&lt;24,"Does not meet design criteria",""))</f>
        <v/>
      </c>
      <c r="F311" s="402"/>
      <c r="G311" s="402"/>
      <c r="H311" s="405"/>
    </row>
    <row r="312" spans="1:8" x14ac:dyDescent="0.35">
      <c r="A312" s="242" t="s">
        <v>500</v>
      </c>
      <c r="B312" s="243"/>
      <c r="C312" s="244"/>
      <c r="D312" s="43"/>
      <c r="E312" s="401" t="str">
        <f>IF(D312="","",IF(D312&lt;3,"Does not meet design criteria",""))</f>
        <v/>
      </c>
      <c r="F312" s="402"/>
      <c r="G312" s="402"/>
      <c r="H312" s="405"/>
    </row>
    <row r="313" spans="1:8" x14ac:dyDescent="0.35">
      <c r="A313" s="242" t="s">
        <v>501</v>
      </c>
      <c r="B313" s="243"/>
      <c r="C313" s="244"/>
      <c r="D313" s="211"/>
      <c r="E313" s="401" t="str">
        <f>IF(D313="No","Does not meet design criteria","")</f>
        <v/>
      </c>
      <c r="F313" s="402"/>
      <c r="G313" s="402"/>
      <c r="H313" s="405"/>
    </row>
    <row r="314" spans="1:8" x14ac:dyDescent="0.35">
      <c r="A314" s="242" t="s">
        <v>502</v>
      </c>
      <c r="B314" s="243"/>
      <c r="C314" s="244"/>
      <c r="D314" s="211"/>
      <c r="E314" s="401" t="str">
        <f>IF(D314="No","Does not meet design criteria","")</f>
        <v/>
      </c>
      <c r="F314" s="402"/>
      <c r="G314" s="402"/>
      <c r="H314" s="405"/>
    </row>
    <row r="315" spans="1:8" x14ac:dyDescent="0.35">
      <c r="A315" s="242" t="s">
        <v>503</v>
      </c>
      <c r="B315" s="243"/>
      <c r="C315" s="244"/>
      <c r="D315" s="211"/>
      <c r="E315" s="401" t="str">
        <f>IF(D315="No","Does not meet design criteria","")</f>
        <v/>
      </c>
      <c r="F315" s="402"/>
      <c r="G315" s="402"/>
      <c r="H315" s="405"/>
    </row>
    <row r="316" spans="1:8" x14ac:dyDescent="0.35">
      <c r="A316" s="242" t="s">
        <v>460</v>
      </c>
      <c r="B316" s="243"/>
      <c r="C316" s="244"/>
      <c r="D316" s="43"/>
      <c r="E316" s="401" t="str">
        <f>IF(D316&gt;15,"Does not meet design criteria","")</f>
        <v/>
      </c>
      <c r="F316" s="402"/>
      <c r="G316" s="402"/>
      <c r="H316" s="405"/>
    </row>
    <row r="317" spans="1:8" x14ac:dyDescent="0.35">
      <c r="A317" s="242" t="s">
        <v>461</v>
      </c>
      <c r="B317" s="243"/>
      <c r="C317" s="244"/>
      <c r="D317" s="43"/>
      <c r="E317" s="401" t="str">
        <f>IF(D317="","",IF(D317&lt;12,"Does not meet design criteria",""))</f>
        <v/>
      </c>
      <c r="F317" s="402"/>
      <c r="G317" s="402"/>
      <c r="H317" s="405"/>
    </row>
    <row r="318" spans="1:8" ht="13" x14ac:dyDescent="0.35">
      <c r="A318" s="241" t="s">
        <v>232</v>
      </c>
      <c r="B318" s="241"/>
      <c r="C318" s="241"/>
      <c r="D318" s="241"/>
      <c r="E318" s="241"/>
      <c r="F318" s="241"/>
      <c r="G318" s="241"/>
      <c r="H318" s="241"/>
    </row>
    <row r="319" spans="1:8" x14ac:dyDescent="0.35">
      <c r="A319" s="378"/>
      <c r="B319" s="379"/>
      <c r="C319" s="380"/>
      <c r="D319" s="222" t="s">
        <v>256</v>
      </c>
      <c r="E319" s="208" t="s">
        <v>257</v>
      </c>
      <c r="F319" s="375" t="s">
        <v>258</v>
      </c>
      <c r="G319" s="376"/>
      <c r="H319" s="377"/>
    </row>
    <row r="320" spans="1:8" x14ac:dyDescent="0.35">
      <c r="A320" s="266" t="s">
        <v>477</v>
      </c>
      <c r="B320" s="267"/>
      <c r="C320" s="268"/>
      <c r="D320" s="59"/>
      <c r="E320" s="193" t="s">
        <v>2</v>
      </c>
      <c r="F320" s="403" t="str">
        <f>IF(D320="","",IF(D320&lt;0.1*F292,"Does not meet pretreatment criteria",IF(AND(D298="Yes",D299="Yes",D320&lt;F292),"Does not meet design criteria","")))</f>
        <v/>
      </c>
      <c r="G320" s="403"/>
      <c r="H320" s="403"/>
    </row>
    <row r="321" spans="1:8" x14ac:dyDescent="0.35">
      <c r="A321" s="266" t="s">
        <v>504</v>
      </c>
      <c r="B321" s="267"/>
      <c r="C321" s="268"/>
      <c r="D321" s="59"/>
      <c r="E321" s="193" t="s">
        <v>2</v>
      </c>
      <c r="F321" s="403" t="str">
        <f>IF(D321="","",IF(D321&lt;0.9*F292,"Does not meet sizing criteria",""))</f>
        <v/>
      </c>
      <c r="G321" s="403"/>
      <c r="H321" s="403"/>
    </row>
    <row r="322" spans="1:8" x14ac:dyDescent="0.35">
      <c r="A322" s="266" t="s">
        <v>505</v>
      </c>
      <c r="B322" s="267"/>
      <c r="C322" s="268"/>
      <c r="D322" s="59"/>
      <c r="E322" s="193" t="s">
        <v>271</v>
      </c>
      <c r="F322" s="403" t="str">
        <f>IF(D322="","",IF(D322&lt;15,"Does not meet sizing criteria",""))</f>
        <v/>
      </c>
      <c r="G322" s="403"/>
      <c r="H322" s="403"/>
    </row>
    <row r="323" spans="1:8" ht="13" x14ac:dyDescent="0.35">
      <c r="A323" s="390" t="s">
        <v>468</v>
      </c>
      <c r="B323" s="390"/>
      <c r="C323" s="390"/>
      <c r="D323" s="390"/>
      <c r="E323" s="390"/>
      <c r="F323" s="390"/>
      <c r="G323" s="390"/>
      <c r="H323" s="390"/>
    </row>
    <row r="324" spans="1:8" ht="13" x14ac:dyDescent="0.35">
      <c r="A324" s="398" t="s">
        <v>469</v>
      </c>
      <c r="B324" s="399"/>
      <c r="C324" s="400"/>
      <c r="D324" s="150" t="str">
        <f>IF(F292="","",IF(D295&gt;15,0,IF(AND(D296&gt;0.014,D297="No"),0,IF(AND(D297="No",D298="Yes"),0,IF(AND(D297="No",D299="Yes"),0,IF(AND(D297="Yes",D298="Yes",D300&lt;2),0,IF(AND(D299="Yes",D300&lt;2),0,IF(AND(D299="Yes",D320&lt;F292),0,IF(D302="Yes",0,IF(D303="No",0,IF(D304="No",0,IF(D305="No",0,IF(D306="No",0,IF(D307="No",0,IF(D308&lt;1,0,IF(D309&lt;8,0,IF(D310&lt;3,0,IF(D311&lt;24,0,IF(D312&lt;3,0,IF(D313="No",0,IF(D314="No",0,IF(D315="No",0,IF(D316&gt;15,0,IF(D317&lt;12,0,IF(D320&lt;0.1*F292,0,IF(D321&lt;0.9*F292,0,IF(D322&lt;15,0,F292)))))))))))))))))))))))))))</f>
        <v/>
      </c>
      <c r="E324" s="398" t="s">
        <v>2</v>
      </c>
      <c r="F324" s="399"/>
      <c r="G324" s="399"/>
      <c r="H324" s="400"/>
    </row>
    <row r="325" spans="1:8" ht="13" x14ac:dyDescent="0.35">
      <c r="A325" s="16" t="s">
        <v>56</v>
      </c>
      <c r="B325" s="225" t="str">
        <f>IF('STEP 2-WQv Calculation'!$B$4="","",'STEP 2-WQv Calculation'!$B$4)</f>
        <v/>
      </c>
      <c r="C325" s="199"/>
      <c r="D325" s="199"/>
      <c r="E325" s="199"/>
      <c r="F325" s="199"/>
      <c r="G325" s="199"/>
      <c r="H325" s="199"/>
    </row>
    <row r="326" spans="1:8" ht="13" x14ac:dyDescent="0.35">
      <c r="A326" s="241" t="s">
        <v>293</v>
      </c>
      <c r="B326" s="241"/>
      <c r="C326" s="241"/>
      <c r="D326" s="241"/>
      <c r="E326" s="241"/>
      <c r="F326" s="241"/>
      <c r="G326" s="241"/>
      <c r="H326" s="241"/>
    </row>
    <row r="327" spans="1:8" ht="38.5" x14ac:dyDescent="0.35">
      <c r="A327" s="204" t="s">
        <v>60</v>
      </c>
      <c r="B327" s="205" t="s">
        <v>61</v>
      </c>
      <c r="C327" s="205" t="s">
        <v>62</v>
      </c>
      <c r="D327" s="205" t="s">
        <v>63</v>
      </c>
      <c r="E327" s="205" t="s">
        <v>64</v>
      </c>
      <c r="F327" s="205" t="s">
        <v>65</v>
      </c>
      <c r="G327" s="205" t="s">
        <v>244</v>
      </c>
      <c r="H327" s="206" t="s">
        <v>13</v>
      </c>
    </row>
    <row r="328" spans="1:8" x14ac:dyDescent="0.35">
      <c r="A328" s="218"/>
      <c r="B328" s="3" t="str">
        <f>IF($A328="","",(LOOKUP($A328,'STEP 2-WQv Calculation'!$A$8:$A$37,'STEP 2-WQv Calculation'!$B$8:$B$37)))</f>
        <v/>
      </c>
      <c r="C328" s="3" t="str">
        <f>IF($A328="","",(LOOKUP($A328,'STEP 2-WQv Calculation'!$A$8:$A$37,'STEP 2-WQv Calculation'!$C$8:$C$37)))</f>
        <v/>
      </c>
      <c r="D328" s="212" t="str">
        <f>IF($A328="","",(LOOKUP($A328,'STEP 2-WQv Calculation'!$A$8:$A$37,'STEP 2-WQv Calculation'!$D$8:$D$37)))</f>
        <v/>
      </c>
      <c r="E328" s="3" t="str">
        <f>IF($A328="","",(LOOKUP($A328,'STEP 2-WQv Calculation'!$A$8:$A$37,'STEP 2-WQv Calculation'!$E$8:$E$37)))</f>
        <v/>
      </c>
      <c r="F328" s="217" t="str">
        <f>IF($A328="","",(LOOKUP($A328,'STEP 2-WQv Calculation'!$A$8:$A$37,'STEP 2-WQv Calculation'!$F$8:$F$37)))</f>
        <v/>
      </c>
      <c r="G328" s="22">
        <f>'STEP 2-WQv Calculation'!B185</f>
        <v>0</v>
      </c>
      <c r="H328" s="198" t="str">
        <f>IF($A328="","",(LOOKUP($A328,'STEP 2-WQv Calculation'!$A$8:$A$37,'STEP 2-WQv Calculation'!$G$8:$G$37)))</f>
        <v/>
      </c>
    </row>
    <row r="329" spans="1:8" ht="13" x14ac:dyDescent="0.3">
      <c r="A329" s="273" t="s">
        <v>226</v>
      </c>
      <c r="B329" s="273"/>
      <c r="C329" s="273"/>
      <c r="D329" s="273"/>
      <c r="E329" s="273"/>
      <c r="F329" s="273"/>
      <c r="G329" s="273"/>
      <c r="H329" s="273"/>
    </row>
    <row r="330" spans="1:8" x14ac:dyDescent="0.35">
      <c r="A330" s="242" t="s">
        <v>471</v>
      </c>
      <c r="B330" s="243"/>
      <c r="C330" s="244"/>
      <c r="D330" s="211"/>
      <c r="E330" s="401" t="str">
        <f>IF(D330="YES", "A permit is required","")</f>
        <v/>
      </c>
      <c r="F330" s="402"/>
      <c r="G330" s="402"/>
      <c r="H330" s="405"/>
    </row>
    <row r="331" spans="1:8" x14ac:dyDescent="0.35">
      <c r="A331" s="242" t="s">
        <v>472</v>
      </c>
      <c r="B331" s="243"/>
      <c r="C331" s="244"/>
      <c r="D331" s="43"/>
      <c r="E331" s="401" t="str">
        <f>IF(D331&gt;15,"Does not meet feasibility criteria","")</f>
        <v/>
      </c>
      <c r="F331" s="402"/>
      <c r="G331" s="402"/>
      <c r="H331" s="405"/>
    </row>
    <row r="332" spans="1:8" x14ac:dyDescent="0.35">
      <c r="A332" s="242" t="s">
        <v>442</v>
      </c>
      <c r="B332" s="243"/>
      <c r="C332" s="244"/>
      <c r="D332" s="43"/>
      <c r="E332" s="401" t="str">
        <f>IF(D332="","If an impermeable liner is provided, enter 0 in/hr",IF(D332&gt;0.014,"Does not meet feasibility criteria, provide an impermeable liner",""))</f>
        <v>If an impermeable liner is provided, enter 0 in/hr</v>
      </c>
      <c r="F332" s="402"/>
      <c r="G332" s="402"/>
      <c r="H332" s="405"/>
    </row>
    <row r="333" spans="1:8" x14ac:dyDescent="0.35">
      <c r="A333" s="242" t="s">
        <v>443</v>
      </c>
      <c r="B333" s="243"/>
      <c r="C333" s="244"/>
      <c r="D333" s="211"/>
      <c r="E333" s="401" t="str">
        <f>IF(AND(D332&gt;0.014,D333="No"),"Does not meet feasibility criteria","")</f>
        <v/>
      </c>
      <c r="F333" s="402"/>
      <c r="G333" s="402"/>
      <c r="H333" s="405"/>
    </row>
    <row r="334" spans="1:8" x14ac:dyDescent="0.35">
      <c r="A334" s="242" t="s">
        <v>473</v>
      </c>
      <c r="B334" s="243"/>
      <c r="C334" s="244"/>
      <c r="D334" s="211"/>
      <c r="E334" s="401" t="str">
        <f>IF(AND(D333="No",D334="Yes"),"Does not meet feasibility criteria","")</f>
        <v/>
      </c>
      <c r="F334" s="402"/>
      <c r="G334" s="402"/>
      <c r="H334" s="405"/>
    </row>
    <row r="335" spans="1:8" x14ac:dyDescent="0.35">
      <c r="A335" s="242" t="s">
        <v>474</v>
      </c>
      <c r="B335" s="243"/>
      <c r="C335" s="244"/>
      <c r="D335" s="211"/>
      <c r="E335" s="401" t="str">
        <f>IF(AND(D333="Yes",D335="Yes"),"Provide 100% pretreatment",IF(AND(D333="No",D335="Yes"),"Does not meet feasibility criteria",""))</f>
        <v/>
      </c>
      <c r="F335" s="402"/>
      <c r="G335" s="402"/>
      <c r="H335" s="405"/>
    </row>
    <row r="336" spans="1:8" x14ac:dyDescent="0.35">
      <c r="A336" s="242" t="s">
        <v>296</v>
      </c>
      <c r="B336" s="243"/>
      <c r="C336" s="244"/>
      <c r="D336" s="43"/>
      <c r="E336" s="401" t="str">
        <f>IF(AND(D333="No",D334="Yes"),"Does not meet feasibility criteria",IF(AND(D333="No",D335="Yes"),"Does not meet feasibility criteria",IF(AND(D333="Yes",D334="Yes",D336&lt;2),"Does not meet feasibility criteria",IF(AND(D333="Yes",D335="Yes",D336&lt;2),"Does not meet feasibility criteria",""))))</f>
        <v/>
      </c>
      <c r="F336" s="402"/>
      <c r="G336" s="402"/>
      <c r="H336" s="405"/>
    </row>
    <row r="337" spans="1:8" ht="25" x14ac:dyDescent="0.35">
      <c r="A337" s="242" t="s">
        <v>711</v>
      </c>
      <c r="B337" s="406"/>
      <c r="C337" s="407"/>
      <c r="D337" s="218"/>
      <c r="E337" s="218"/>
      <c r="F337" s="218"/>
      <c r="G337" s="198" t="s">
        <v>716</v>
      </c>
      <c r="H337" s="198">
        <f>IF($D337="",0,(LOOKUP($D337,'STEP 2-WQv Calculation'!$A$8:$A$37,'STEP 2-WQv Calculation'!$B$8:$B$37)))+IF($E337="",0,(LOOKUP($E337,'STEP 2-WQv Calculation'!$A$8:$A$37,'STEP 2-WQv Calculation'!$B$8:$B$37)))+IF($F337="",0,(LOOKUP($F337,'STEP 2-WQv Calculation'!$A$8:$A$37,'STEP 2-WQv Calculation'!$B$8:$B$37)))</f>
        <v>0</v>
      </c>
    </row>
    <row r="338" spans="1:8" x14ac:dyDescent="0.35">
      <c r="A338" s="242" t="s">
        <v>494</v>
      </c>
      <c r="B338" s="243"/>
      <c r="C338" s="244"/>
      <c r="D338" s="227" t="str">
        <f>IF(B328="","",IF((B328+H337)&gt;5,"Yes","No"))</f>
        <v/>
      </c>
      <c r="E338" s="401" t="str">
        <f>IF(D338="Yes","Does not meet feasibility criteria","")</f>
        <v/>
      </c>
      <c r="F338" s="402"/>
      <c r="G338" s="402"/>
      <c r="H338" s="405"/>
    </row>
    <row r="339" spans="1:8" x14ac:dyDescent="0.35">
      <c r="A339" s="242" t="s">
        <v>495</v>
      </c>
      <c r="B339" s="243"/>
      <c r="C339" s="244"/>
      <c r="D339" s="211"/>
      <c r="E339" s="401" t="str">
        <f>IF(D339="No","Does not meet conveyance criteria","")</f>
        <v/>
      </c>
      <c r="F339" s="402"/>
      <c r="G339" s="402"/>
      <c r="H339" s="405"/>
    </row>
    <row r="340" spans="1:8" x14ac:dyDescent="0.35">
      <c r="A340" s="242" t="s">
        <v>496</v>
      </c>
      <c r="B340" s="243"/>
      <c r="C340" s="244"/>
      <c r="D340" s="211"/>
      <c r="E340" s="401" t="str">
        <f>IF(D340="No","Does not meet conveyance criteria","")</f>
        <v/>
      </c>
      <c r="F340" s="402"/>
      <c r="G340" s="402"/>
      <c r="H340" s="405"/>
    </row>
    <row r="341" spans="1:8" x14ac:dyDescent="0.35">
      <c r="A341" s="242" t="s">
        <v>497</v>
      </c>
      <c r="B341" s="243"/>
      <c r="C341" s="244"/>
      <c r="D341" s="211"/>
      <c r="E341" s="401" t="str">
        <f>IF(D341="No","Does not meet conveyance criteria","")</f>
        <v/>
      </c>
      <c r="F341" s="402"/>
      <c r="G341" s="402"/>
      <c r="H341" s="405"/>
    </row>
    <row r="342" spans="1:8" x14ac:dyDescent="0.35">
      <c r="A342" s="242" t="s">
        <v>451</v>
      </c>
      <c r="B342" s="243"/>
      <c r="C342" s="244"/>
      <c r="D342" s="211"/>
      <c r="E342" s="401" t="str">
        <f>IF(D342="No","Does not meet conveyance criteria","")</f>
        <v/>
      </c>
      <c r="F342" s="402"/>
      <c r="G342" s="402"/>
      <c r="H342" s="405"/>
    </row>
    <row r="343" spans="1:8" x14ac:dyDescent="0.35">
      <c r="A343" s="242" t="s">
        <v>476</v>
      </c>
      <c r="B343" s="243"/>
      <c r="C343" s="244"/>
      <c r="D343" s="211"/>
      <c r="E343" s="401" t="str">
        <f>IF(D343="No","Does not meet pretreatment criteria","")</f>
        <v/>
      </c>
      <c r="F343" s="402"/>
      <c r="G343" s="402"/>
      <c r="H343" s="405"/>
    </row>
    <row r="344" spans="1:8" x14ac:dyDescent="0.35">
      <c r="A344" s="242" t="s">
        <v>453</v>
      </c>
      <c r="B344" s="243"/>
      <c r="C344" s="244"/>
      <c r="D344" s="43"/>
      <c r="E344" s="401" t="str">
        <f>IF(D344="","",IF(D344&lt;1,"Does not meet design criteria",""))</f>
        <v/>
      </c>
      <c r="F344" s="402"/>
      <c r="G344" s="402"/>
      <c r="H344" s="405"/>
    </row>
    <row r="345" spans="1:8" x14ac:dyDescent="0.35">
      <c r="A345" s="242" t="s">
        <v>286</v>
      </c>
      <c r="B345" s="243"/>
      <c r="C345" s="244"/>
      <c r="D345" s="43"/>
      <c r="E345" s="401" t="str">
        <f>IF(D345="","",IF(D345&lt;8,"Does not meet design criteria",""))</f>
        <v/>
      </c>
      <c r="F345" s="402"/>
      <c r="G345" s="402"/>
      <c r="H345" s="405"/>
    </row>
    <row r="346" spans="1:8" x14ac:dyDescent="0.35">
      <c r="A346" s="242" t="s">
        <v>498</v>
      </c>
      <c r="B346" s="243"/>
      <c r="C346" s="244"/>
      <c r="D346" s="43"/>
      <c r="E346" s="401" t="str">
        <f>IF(D346="","",IF(D346&lt;3,"Does not meet design criteria",""))</f>
        <v/>
      </c>
      <c r="F346" s="402"/>
      <c r="G346" s="402"/>
      <c r="H346" s="405"/>
    </row>
    <row r="347" spans="1:8" x14ac:dyDescent="0.35">
      <c r="A347" s="242" t="s">
        <v>499</v>
      </c>
      <c r="B347" s="243"/>
      <c r="C347" s="244"/>
      <c r="D347" s="43"/>
      <c r="E347" s="401" t="str">
        <f>IF(D347="","",IF(D347&lt;24,"Does not meet design criteria",""))</f>
        <v/>
      </c>
      <c r="F347" s="402"/>
      <c r="G347" s="402"/>
      <c r="H347" s="405"/>
    </row>
    <row r="348" spans="1:8" x14ac:dyDescent="0.35">
      <c r="A348" s="242" t="s">
        <v>500</v>
      </c>
      <c r="B348" s="243"/>
      <c r="C348" s="244"/>
      <c r="D348" s="43"/>
      <c r="E348" s="401" t="str">
        <f>IF(D348="","",IF(D348&lt;3,"Does not meet design criteria",""))</f>
        <v/>
      </c>
      <c r="F348" s="402"/>
      <c r="G348" s="402"/>
      <c r="H348" s="405"/>
    </row>
    <row r="349" spans="1:8" x14ac:dyDescent="0.35">
      <c r="A349" s="242" t="s">
        <v>501</v>
      </c>
      <c r="B349" s="243"/>
      <c r="C349" s="244"/>
      <c r="D349" s="211"/>
      <c r="E349" s="401" t="str">
        <f>IF(D349="No","Does not meet design criteria","")</f>
        <v/>
      </c>
      <c r="F349" s="402"/>
      <c r="G349" s="402"/>
      <c r="H349" s="405"/>
    </row>
    <row r="350" spans="1:8" x14ac:dyDescent="0.35">
      <c r="A350" s="242" t="s">
        <v>502</v>
      </c>
      <c r="B350" s="243"/>
      <c r="C350" s="244"/>
      <c r="D350" s="211"/>
      <c r="E350" s="401" t="str">
        <f>IF(D350="No","Does not meet design criteria","")</f>
        <v/>
      </c>
      <c r="F350" s="402"/>
      <c r="G350" s="402"/>
      <c r="H350" s="405"/>
    </row>
    <row r="351" spans="1:8" x14ac:dyDescent="0.35">
      <c r="A351" s="242" t="s">
        <v>503</v>
      </c>
      <c r="B351" s="243"/>
      <c r="C351" s="244"/>
      <c r="D351" s="211"/>
      <c r="E351" s="401" t="str">
        <f>IF(D351="No","Does not meet design criteria","")</f>
        <v/>
      </c>
      <c r="F351" s="402"/>
      <c r="G351" s="402"/>
      <c r="H351" s="405"/>
    </row>
    <row r="352" spans="1:8" x14ac:dyDescent="0.35">
      <c r="A352" s="242" t="s">
        <v>460</v>
      </c>
      <c r="B352" s="243"/>
      <c r="C352" s="244"/>
      <c r="D352" s="43"/>
      <c r="E352" s="401" t="str">
        <f>IF(D352&gt;15,"Does not meet design criteria","")</f>
        <v/>
      </c>
      <c r="F352" s="402"/>
      <c r="G352" s="402"/>
      <c r="H352" s="405"/>
    </row>
    <row r="353" spans="1:8" x14ac:dyDescent="0.35">
      <c r="A353" s="242" t="s">
        <v>461</v>
      </c>
      <c r="B353" s="243"/>
      <c r="C353" s="244"/>
      <c r="D353" s="43"/>
      <c r="E353" s="401" t="str">
        <f>IF(D353="","",IF(D353&lt;12,"Does not meet design criteria",""))</f>
        <v/>
      </c>
      <c r="F353" s="402"/>
      <c r="G353" s="402"/>
      <c r="H353" s="405"/>
    </row>
    <row r="354" spans="1:8" ht="13" x14ac:dyDescent="0.35">
      <c r="A354" s="241" t="s">
        <v>232</v>
      </c>
      <c r="B354" s="241"/>
      <c r="C354" s="241"/>
      <c r="D354" s="241"/>
      <c r="E354" s="241"/>
      <c r="F354" s="241"/>
      <c r="G354" s="241"/>
      <c r="H354" s="241"/>
    </row>
    <row r="355" spans="1:8" x14ac:dyDescent="0.35">
      <c r="A355" s="378"/>
      <c r="B355" s="379"/>
      <c r="C355" s="380"/>
      <c r="D355" s="222" t="s">
        <v>256</v>
      </c>
      <c r="E355" s="208" t="s">
        <v>257</v>
      </c>
      <c r="F355" s="375" t="s">
        <v>258</v>
      </c>
      <c r="G355" s="376"/>
      <c r="H355" s="377"/>
    </row>
    <row r="356" spans="1:8" x14ac:dyDescent="0.35">
      <c r="A356" s="266" t="s">
        <v>477</v>
      </c>
      <c r="B356" s="267"/>
      <c r="C356" s="268"/>
      <c r="D356" s="59"/>
      <c r="E356" s="193" t="s">
        <v>2</v>
      </c>
      <c r="F356" s="403" t="str">
        <f>IF(D356="","",IF(D356&lt;0.1*F328,"Does not meet pretreatment criteria",IF(AND(D334="Yes",D335="Yes",D356&lt;F328),"Does not meet design criteria","")))</f>
        <v/>
      </c>
      <c r="G356" s="403"/>
      <c r="H356" s="403"/>
    </row>
    <row r="357" spans="1:8" x14ac:dyDescent="0.35">
      <c r="A357" s="266" t="s">
        <v>504</v>
      </c>
      <c r="B357" s="267"/>
      <c r="C357" s="268"/>
      <c r="D357" s="59"/>
      <c r="E357" s="193" t="s">
        <v>2</v>
      </c>
      <c r="F357" s="403" t="str">
        <f>IF(D357="","",IF(D357&lt;0.9*F328,"Does not meet sizing criteria",""))</f>
        <v/>
      </c>
      <c r="G357" s="403"/>
      <c r="H357" s="403"/>
    </row>
    <row r="358" spans="1:8" x14ac:dyDescent="0.35">
      <c r="A358" s="266" t="s">
        <v>505</v>
      </c>
      <c r="B358" s="267"/>
      <c r="C358" s="268"/>
      <c r="D358" s="59"/>
      <c r="E358" s="193" t="s">
        <v>271</v>
      </c>
      <c r="F358" s="403" t="str">
        <f>IF(D358="","",IF(D358&lt;15,"Does not meet sizing criteria",""))</f>
        <v/>
      </c>
      <c r="G358" s="403"/>
      <c r="H358" s="403"/>
    </row>
    <row r="359" spans="1:8" ht="13" x14ac:dyDescent="0.35">
      <c r="A359" s="390" t="s">
        <v>468</v>
      </c>
      <c r="B359" s="390"/>
      <c r="C359" s="390"/>
      <c r="D359" s="390"/>
      <c r="E359" s="390"/>
      <c r="F359" s="390"/>
      <c r="G359" s="390"/>
      <c r="H359" s="390"/>
    </row>
    <row r="360" spans="1:8" ht="13" x14ac:dyDescent="0.35">
      <c r="A360" s="398" t="s">
        <v>469</v>
      </c>
      <c r="B360" s="399"/>
      <c r="C360" s="400"/>
      <c r="D360" s="150" t="str">
        <f>IF(F328="","",IF(D331&gt;15,0,IF(AND(D332&gt;0.014,D333="No"),0,IF(AND(D333="No",D334="Yes"),0,IF(AND(D333="No",D335="Yes"),0,IF(AND(D333="Yes",D334="Yes",D336&lt;2),0,IF(AND(D335="Yes",D336&lt;2),0,IF(AND(D335="Yes",D356&lt;F328),0,IF(D338="Yes",0,IF(D339="No",0,IF(D340="No",0,IF(D341="No",0,IF(D342="No",0,IF(D343="No",0,IF(D344&lt;1,0,IF(D345&lt;8,0,IF(D346&lt;3,0,IF(D347&lt;24,0,IF(D348&lt;3,0,IF(D349="No",0,IF(D350="No",0,IF(D351="No",0,IF(D352&gt;15,0,IF(D353&lt;12,0,IF(D356&lt;0.1*F328,0,IF(D357&lt;0.9*F328,0,IF(D358&lt;15,0,F328)))))))))))))))))))))))))))</f>
        <v/>
      </c>
      <c r="E360" s="398" t="s">
        <v>2</v>
      </c>
      <c r="F360" s="399"/>
      <c r="G360" s="399"/>
      <c r="H360" s="400"/>
    </row>
  </sheetData>
  <sheetProtection algorithmName="SHA-512" hashValue="0nkQDU8Vr7njI36YY+Svns7AWwAicQaT9iGcnMHs2b9d1uFHEXThNjmemB8kDJRbgO87mB6u8CVfZf4GfHrEJg==" saltValue="qmYSipMX8ACkk9xk2RpcSg==" spinCount="100000" sheet="1" formatColumns="0" formatRows="0"/>
  <mergeCells count="613">
    <mergeCell ref="A360:C360"/>
    <mergeCell ref="E360:H360"/>
    <mergeCell ref="A355:C355"/>
    <mergeCell ref="F355:H355"/>
    <mergeCell ref="A356:C356"/>
    <mergeCell ref="F356:H356"/>
    <mergeCell ref="A357:C357"/>
    <mergeCell ref="F357:H357"/>
    <mergeCell ref="A358:C358"/>
    <mergeCell ref="F358:H358"/>
    <mergeCell ref="A359:H359"/>
    <mergeCell ref="A350:C350"/>
    <mergeCell ref="E350:H350"/>
    <mergeCell ref="A351:C351"/>
    <mergeCell ref="E351:H351"/>
    <mergeCell ref="A352:C352"/>
    <mergeCell ref="E352:H352"/>
    <mergeCell ref="A353:C353"/>
    <mergeCell ref="E353:H353"/>
    <mergeCell ref="A354:H354"/>
    <mergeCell ref="A345:C345"/>
    <mergeCell ref="E345:H345"/>
    <mergeCell ref="A346:C346"/>
    <mergeCell ref="E346:H346"/>
    <mergeCell ref="A347:C347"/>
    <mergeCell ref="E347:H347"/>
    <mergeCell ref="A348:C348"/>
    <mergeCell ref="E348:H348"/>
    <mergeCell ref="A349:C349"/>
    <mergeCell ref="E349:H349"/>
    <mergeCell ref="A340:C340"/>
    <mergeCell ref="E340:H340"/>
    <mergeCell ref="A341:C341"/>
    <mergeCell ref="E341:H341"/>
    <mergeCell ref="A342:C342"/>
    <mergeCell ref="E342:H342"/>
    <mergeCell ref="A343:C343"/>
    <mergeCell ref="E343:H343"/>
    <mergeCell ref="A344:C344"/>
    <mergeCell ref="E344:H344"/>
    <mergeCell ref="A335:C335"/>
    <mergeCell ref="E335:H335"/>
    <mergeCell ref="A336:C336"/>
    <mergeCell ref="E336:H336"/>
    <mergeCell ref="A337:C337"/>
    <mergeCell ref="A338:C338"/>
    <mergeCell ref="E338:H338"/>
    <mergeCell ref="A339:C339"/>
    <mergeCell ref="E339:H339"/>
    <mergeCell ref="A330:C330"/>
    <mergeCell ref="E330:H330"/>
    <mergeCell ref="A331:C331"/>
    <mergeCell ref="E331:H331"/>
    <mergeCell ref="A332:C332"/>
    <mergeCell ref="E332:H332"/>
    <mergeCell ref="A333:C333"/>
    <mergeCell ref="E333:H333"/>
    <mergeCell ref="A334:C334"/>
    <mergeCell ref="E334:H334"/>
    <mergeCell ref="A321:C321"/>
    <mergeCell ref="F321:H321"/>
    <mergeCell ref="A322:C322"/>
    <mergeCell ref="F322:H322"/>
    <mergeCell ref="A323:H323"/>
    <mergeCell ref="A324:C324"/>
    <mergeCell ref="E324:H324"/>
    <mergeCell ref="A326:H326"/>
    <mergeCell ref="A329:H329"/>
    <mergeCell ref="A316:C316"/>
    <mergeCell ref="E316:H316"/>
    <mergeCell ref="A317:C317"/>
    <mergeCell ref="E317:H317"/>
    <mergeCell ref="A318:H318"/>
    <mergeCell ref="A319:C319"/>
    <mergeCell ref="F319:H319"/>
    <mergeCell ref="A320:C320"/>
    <mergeCell ref="F320:H320"/>
    <mergeCell ref="A311:C311"/>
    <mergeCell ref="E311:H311"/>
    <mergeCell ref="A312:C312"/>
    <mergeCell ref="E312:H312"/>
    <mergeCell ref="A313:C313"/>
    <mergeCell ref="E313:H313"/>
    <mergeCell ref="A314:C314"/>
    <mergeCell ref="E314:H314"/>
    <mergeCell ref="A315:C315"/>
    <mergeCell ref="E315:H315"/>
    <mergeCell ref="A306:C306"/>
    <mergeCell ref="E306:H306"/>
    <mergeCell ref="A307:C307"/>
    <mergeCell ref="E307:H307"/>
    <mergeCell ref="A308:C308"/>
    <mergeCell ref="E308:H308"/>
    <mergeCell ref="A309:C309"/>
    <mergeCell ref="E309:H309"/>
    <mergeCell ref="A310:C310"/>
    <mergeCell ref="E310:H310"/>
    <mergeCell ref="A301:C301"/>
    <mergeCell ref="A302:C302"/>
    <mergeCell ref="E302:H302"/>
    <mergeCell ref="A303:C303"/>
    <mergeCell ref="E303:H303"/>
    <mergeCell ref="A304:C304"/>
    <mergeCell ref="E304:H304"/>
    <mergeCell ref="A305:C305"/>
    <mergeCell ref="E305:H305"/>
    <mergeCell ref="A296:C296"/>
    <mergeCell ref="E296:H296"/>
    <mergeCell ref="A297:C297"/>
    <mergeCell ref="E297:H297"/>
    <mergeCell ref="A298:C298"/>
    <mergeCell ref="E298:H298"/>
    <mergeCell ref="A299:C299"/>
    <mergeCell ref="E299:H299"/>
    <mergeCell ref="A300:C300"/>
    <mergeCell ref="E300:H300"/>
    <mergeCell ref="A287:H287"/>
    <mergeCell ref="A288:C288"/>
    <mergeCell ref="E288:H288"/>
    <mergeCell ref="A290:H290"/>
    <mergeCell ref="A293:H293"/>
    <mergeCell ref="A294:C294"/>
    <mergeCell ref="E294:H294"/>
    <mergeCell ref="A295:C295"/>
    <mergeCell ref="E295:H295"/>
    <mergeCell ref="A282:H282"/>
    <mergeCell ref="A283:C283"/>
    <mergeCell ref="F283:H283"/>
    <mergeCell ref="A284:C284"/>
    <mergeCell ref="F284:H284"/>
    <mergeCell ref="A285:C285"/>
    <mergeCell ref="F285:H285"/>
    <mergeCell ref="A286:C286"/>
    <mergeCell ref="F286:H286"/>
    <mergeCell ref="A277:C277"/>
    <mergeCell ref="E277:H277"/>
    <mergeCell ref="A278:C278"/>
    <mergeCell ref="E278:H278"/>
    <mergeCell ref="A279:C279"/>
    <mergeCell ref="E279:H279"/>
    <mergeCell ref="A280:C280"/>
    <mergeCell ref="E280:H280"/>
    <mergeCell ref="A281:C281"/>
    <mergeCell ref="E281:H281"/>
    <mergeCell ref="A272:C272"/>
    <mergeCell ref="E272:H272"/>
    <mergeCell ref="A273:C273"/>
    <mergeCell ref="E273:H273"/>
    <mergeCell ref="A274:C274"/>
    <mergeCell ref="E274:H274"/>
    <mergeCell ref="A275:C275"/>
    <mergeCell ref="E275:H275"/>
    <mergeCell ref="A276:C276"/>
    <mergeCell ref="E276:H276"/>
    <mergeCell ref="A267:C267"/>
    <mergeCell ref="E267:H267"/>
    <mergeCell ref="A268:C268"/>
    <mergeCell ref="E268:H268"/>
    <mergeCell ref="A269:C269"/>
    <mergeCell ref="E269:H269"/>
    <mergeCell ref="A270:C270"/>
    <mergeCell ref="E270:H270"/>
    <mergeCell ref="A271:C271"/>
    <mergeCell ref="E271:H271"/>
    <mergeCell ref="A262:C262"/>
    <mergeCell ref="E262:H262"/>
    <mergeCell ref="A263:C263"/>
    <mergeCell ref="E263:H263"/>
    <mergeCell ref="A264:C264"/>
    <mergeCell ref="E264:H264"/>
    <mergeCell ref="A265:C265"/>
    <mergeCell ref="A266:C266"/>
    <mergeCell ref="E266:H266"/>
    <mergeCell ref="A254:H254"/>
    <mergeCell ref="A257:H257"/>
    <mergeCell ref="A258:C258"/>
    <mergeCell ref="E258:H258"/>
    <mergeCell ref="A259:C259"/>
    <mergeCell ref="E259:H259"/>
    <mergeCell ref="A260:C260"/>
    <mergeCell ref="E260:H260"/>
    <mergeCell ref="A261:C261"/>
    <mergeCell ref="E261:H261"/>
    <mergeCell ref="A248:C248"/>
    <mergeCell ref="F248:H248"/>
    <mergeCell ref="A249:C249"/>
    <mergeCell ref="F249:H249"/>
    <mergeCell ref="A250:C250"/>
    <mergeCell ref="F250:H250"/>
    <mergeCell ref="A251:H251"/>
    <mergeCell ref="A252:C252"/>
    <mergeCell ref="E252:H252"/>
    <mergeCell ref="A243:C243"/>
    <mergeCell ref="E243:H243"/>
    <mergeCell ref="A244:C244"/>
    <mergeCell ref="E244:H244"/>
    <mergeCell ref="A245:C245"/>
    <mergeCell ref="E245:H245"/>
    <mergeCell ref="A246:H246"/>
    <mergeCell ref="A247:C247"/>
    <mergeCell ref="F247:H247"/>
    <mergeCell ref="A238:C238"/>
    <mergeCell ref="E238:H238"/>
    <mergeCell ref="A239:C239"/>
    <mergeCell ref="E239:H239"/>
    <mergeCell ref="A240:C240"/>
    <mergeCell ref="E240:H240"/>
    <mergeCell ref="A241:C241"/>
    <mergeCell ref="E241:H241"/>
    <mergeCell ref="A242:C242"/>
    <mergeCell ref="E242:H242"/>
    <mergeCell ref="A233:C233"/>
    <mergeCell ref="E233:H233"/>
    <mergeCell ref="A234:C234"/>
    <mergeCell ref="E234:H234"/>
    <mergeCell ref="A235:C235"/>
    <mergeCell ref="E235:H235"/>
    <mergeCell ref="A236:C236"/>
    <mergeCell ref="E236:H236"/>
    <mergeCell ref="A237:C237"/>
    <mergeCell ref="E237:H237"/>
    <mergeCell ref="A228:C228"/>
    <mergeCell ref="E228:H228"/>
    <mergeCell ref="A229:C229"/>
    <mergeCell ref="A230:C230"/>
    <mergeCell ref="E230:H230"/>
    <mergeCell ref="A231:C231"/>
    <mergeCell ref="E231:H231"/>
    <mergeCell ref="A232:C232"/>
    <mergeCell ref="E232:H232"/>
    <mergeCell ref="A223:C223"/>
    <mergeCell ref="E223:H223"/>
    <mergeCell ref="A224:C224"/>
    <mergeCell ref="E224:H224"/>
    <mergeCell ref="A225:C225"/>
    <mergeCell ref="E225:H225"/>
    <mergeCell ref="A226:C226"/>
    <mergeCell ref="E226:H226"/>
    <mergeCell ref="A227:C227"/>
    <mergeCell ref="E227:H227"/>
    <mergeCell ref="A214:C214"/>
    <mergeCell ref="F214:H214"/>
    <mergeCell ref="A215:H215"/>
    <mergeCell ref="A216:C216"/>
    <mergeCell ref="E216:H216"/>
    <mergeCell ref="A218:H218"/>
    <mergeCell ref="A221:H221"/>
    <mergeCell ref="A222:C222"/>
    <mergeCell ref="E222:H222"/>
    <mergeCell ref="A209:C209"/>
    <mergeCell ref="E209:H209"/>
    <mergeCell ref="A210:H210"/>
    <mergeCell ref="A211:C211"/>
    <mergeCell ref="F211:H211"/>
    <mergeCell ref="A212:C212"/>
    <mergeCell ref="F212:H212"/>
    <mergeCell ref="A213:C213"/>
    <mergeCell ref="F213:H213"/>
    <mergeCell ref="A204:C204"/>
    <mergeCell ref="E204:H204"/>
    <mergeCell ref="A205:C205"/>
    <mergeCell ref="E205:H205"/>
    <mergeCell ref="A206:C206"/>
    <mergeCell ref="E206:H206"/>
    <mergeCell ref="A207:C207"/>
    <mergeCell ref="E207:H207"/>
    <mergeCell ref="A208:C208"/>
    <mergeCell ref="E208:H208"/>
    <mergeCell ref="A199:C199"/>
    <mergeCell ref="E199:H199"/>
    <mergeCell ref="A200:C200"/>
    <mergeCell ref="E200:H200"/>
    <mergeCell ref="A201:C201"/>
    <mergeCell ref="E201:H201"/>
    <mergeCell ref="A202:C202"/>
    <mergeCell ref="E202:H202"/>
    <mergeCell ref="A203:C203"/>
    <mergeCell ref="E203:H203"/>
    <mergeCell ref="A194:C194"/>
    <mergeCell ref="E194:H194"/>
    <mergeCell ref="A195:C195"/>
    <mergeCell ref="E195:H195"/>
    <mergeCell ref="A196:C196"/>
    <mergeCell ref="E196:H196"/>
    <mergeCell ref="A197:C197"/>
    <mergeCell ref="E197:H197"/>
    <mergeCell ref="A198:C198"/>
    <mergeCell ref="E198:H198"/>
    <mergeCell ref="A189:C189"/>
    <mergeCell ref="E189:H189"/>
    <mergeCell ref="A190:C190"/>
    <mergeCell ref="E190:H190"/>
    <mergeCell ref="A191:C191"/>
    <mergeCell ref="E191:H191"/>
    <mergeCell ref="A192:C192"/>
    <mergeCell ref="E192:H192"/>
    <mergeCell ref="A193:C193"/>
    <mergeCell ref="F32:H32"/>
    <mergeCell ref="A34:C34"/>
    <mergeCell ref="A182:H182"/>
    <mergeCell ref="A185:H185"/>
    <mergeCell ref="A186:C186"/>
    <mergeCell ref="E186:H186"/>
    <mergeCell ref="A187:C187"/>
    <mergeCell ref="E187:H187"/>
    <mergeCell ref="A188:C188"/>
    <mergeCell ref="E188:H188"/>
    <mergeCell ref="A54:C54"/>
    <mergeCell ref="E54:H54"/>
    <mergeCell ref="A55:C55"/>
    <mergeCell ref="E55:H55"/>
    <mergeCell ref="A56:C56"/>
    <mergeCell ref="E56:H56"/>
    <mergeCell ref="A51:C51"/>
    <mergeCell ref="E51:H51"/>
    <mergeCell ref="A52:C52"/>
    <mergeCell ref="E52:H52"/>
    <mergeCell ref="A53:C53"/>
    <mergeCell ref="E53:H53"/>
    <mergeCell ref="A60:C60"/>
    <mergeCell ref="E60:H60"/>
    <mergeCell ref="A23:C23"/>
    <mergeCell ref="A13:C13"/>
    <mergeCell ref="A85:C85"/>
    <mergeCell ref="A121:C121"/>
    <mergeCell ref="A157:C157"/>
    <mergeCell ref="A29:C29"/>
    <mergeCell ref="E29:H29"/>
    <mergeCell ref="E20:H20"/>
    <mergeCell ref="A21:C21"/>
    <mergeCell ref="E21:H21"/>
    <mergeCell ref="A28:C28"/>
    <mergeCell ref="E28:H28"/>
    <mergeCell ref="E23:H23"/>
    <mergeCell ref="A24:C24"/>
    <mergeCell ref="E24:H24"/>
    <mergeCell ref="A25:C25"/>
    <mergeCell ref="E25:H25"/>
    <mergeCell ref="A26:C26"/>
    <mergeCell ref="A35:H35"/>
    <mergeCell ref="A36:C36"/>
    <mergeCell ref="E36:H36"/>
    <mergeCell ref="A33:C33"/>
    <mergeCell ref="F33:H33"/>
    <mergeCell ref="A32:C32"/>
    <mergeCell ref="E14:H14"/>
    <mergeCell ref="A2:H2"/>
    <mergeCell ref="F34:H34"/>
    <mergeCell ref="A30:H30"/>
    <mergeCell ref="A31:C31"/>
    <mergeCell ref="F31:H31"/>
    <mergeCell ref="E10:H10"/>
    <mergeCell ref="A11:C11"/>
    <mergeCell ref="E11:H11"/>
    <mergeCell ref="E26:H26"/>
    <mergeCell ref="A27:C27"/>
    <mergeCell ref="E27:H27"/>
    <mergeCell ref="A15:C15"/>
    <mergeCell ref="E15:H15"/>
    <mergeCell ref="A18:C18"/>
    <mergeCell ref="E18:H18"/>
    <mergeCell ref="A19:C19"/>
    <mergeCell ref="E19:H19"/>
    <mergeCell ref="A16:C16"/>
    <mergeCell ref="E16:H16"/>
    <mergeCell ref="A17:C17"/>
    <mergeCell ref="E17:H17"/>
    <mergeCell ref="A22:C22"/>
    <mergeCell ref="E22:H22"/>
    <mergeCell ref="I2:J2"/>
    <mergeCell ref="I3:J3"/>
    <mergeCell ref="I4:J4"/>
    <mergeCell ref="A9:C9"/>
    <mergeCell ref="E9:H9"/>
    <mergeCell ref="A5:H5"/>
    <mergeCell ref="A6:C6"/>
    <mergeCell ref="E6:H6"/>
    <mergeCell ref="A7:C7"/>
    <mergeCell ref="E7:H7"/>
    <mergeCell ref="A8:C8"/>
    <mergeCell ref="E8:H8"/>
    <mergeCell ref="A10:C10"/>
    <mergeCell ref="A47:C47"/>
    <mergeCell ref="E47:H47"/>
    <mergeCell ref="A48:C48"/>
    <mergeCell ref="E48:H48"/>
    <mergeCell ref="A50:C50"/>
    <mergeCell ref="E50:H50"/>
    <mergeCell ref="A44:C44"/>
    <mergeCell ref="E44:H44"/>
    <mergeCell ref="A45:C45"/>
    <mergeCell ref="E45:H45"/>
    <mergeCell ref="A46:C46"/>
    <mergeCell ref="E46:H46"/>
    <mergeCell ref="A49:C49"/>
    <mergeCell ref="A20:C20"/>
    <mergeCell ref="A38:H38"/>
    <mergeCell ref="A41:H41"/>
    <mergeCell ref="A42:C42"/>
    <mergeCell ref="E42:H42"/>
    <mergeCell ref="A43:C43"/>
    <mergeCell ref="E43:H43"/>
    <mergeCell ref="A12:C12"/>
    <mergeCell ref="E12:H12"/>
    <mergeCell ref="A14:C14"/>
    <mergeCell ref="A61:C61"/>
    <mergeCell ref="E61:H61"/>
    <mergeCell ref="A62:C62"/>
    <mergeCell ref="E62:H62"/>
    <mergeCell ref="A57:C57"/>
    <mergeCell ref="E57:H57"/>
    <mergeCell ref="A58:C58"/>
    <mergeCell ref="E58:H58"/>
    <mergeCell ref="A59:C59"/>
    <mergeCell ref="E59:H59"/>
    <mergeCell ref="A66:H66"/>
    <mergeCell ref="A67:C67"/>
    <mergeCell ref="F67:H67"/>
    <mergeCell ref="A68:C68"/>
    <mergeCell ref="F68:H68"/>
    <mergeCell ref="A63:C63"/>
    <mergeCell ref="E63:H63"/>
    <mergeCell ref="A64:C64"/>
    <mergeCell ref="E64:H64"/>
    <mergeCell ref="A65:C65"/>
    <mergeCell ref="E65:H65"/>
    <mergeCell ref="A72:C72"/>
    <mergeCell ref="E72:H72"/>
    <mergeCell ref="A74:H74"/>
    <mergeCell ref="A77:H77"/>
    <mergeCell ref="A78:C78"/>
    <mergeCell ref="E78:H78"/>
    <mergeCell ref="A69:C69"/>
    <mergeCell ref="F69:H69"/>
    <mergeCell ref="A70:C70"/>
    <mergeCell ref="F70:H70"/>
    <mergeCell ref="A71:H71"/>
    <mergeCell ref="A82:C82"/>
    <mergeCell ref="E82:H82"/>
    <mergeCell ref="A83:C83"/>
    <mergeCell ref="E83:H83"/>
    <mergeCell ref="A84:C84"/>
    <mergeCell ref="E84:H84"/>
    <mergeCell ref="A79:C79"/>
    <mergeCell ref="E79:H79"/>
    <mergeCell ref="A80:C80"/>
    <mergeCell ref="E80:H80"/>
    <mergeCell ref="A81:C81"/>
    <mergeCell ref="E81:H81"/>
    <mergeCell ref="A89:C89"/>
    <mergeCell ref="E89:H89"/>
    <mergeCell ref="A90:C90"/>
    <mergeCell ref="E90:H90"/>
    <mergeCell ref="A91:C91"/>
    <mergeCell ref="E91:H91"/>
    <mergeCell ref="A86:C86"/>
    <mergeCell ref="E86:H86"/>
    <mergeCell ref="A87:C87"/>
    <mergeCell ref="E87:H87"/>
    <mergeCell ref="A88:C88"/>
    <mergeCell ref="E88:H88"/>
    <mergeCell ref="A95:C95"/>
    <mergeCell ref="E95:H95"/>
    <mergeCell ref="A96:C96"/>
    <mergeCell ref="E96:H96"/>
    <mergeCell ref="A97:C97"/>
    <mergeCell ref="E97:H97"/>
    <mergeCell ref="A92:C92"/>
    <mergeCell ref="E92:H92"/>
    <mergeCell ref="A93:C93"/>
    <mergeCell ref="E93:H93"/>
    <mergeCell ref="A94:C94"/>
    <mergeCell ref="E94:H94"/>
    <mergeCell ref="A101:C101"/>
    <mergeCell ref="E101:H101"/>
    <mergeCell ref="A102:H102"/>
    <mergeCell ref="A103:C103"/>
    <mergeCell ref="F103:H103"/>
    <mergeCell ref="A98:C98"/>
    <mergeCell ref="E98:H98"/>
    <mergeCell ref="A99:C99"/>
    <mergeCell ref="E99:H99"/>
    <mergeCell ref="A100:C100"/>
    <mergeCell ref="E100:H100"/>
    <mergeCell ref="A107:H107"/>
    <mergeCell ref="A108:C108"/>
    <mergeCell ref="E108:H108"/>
    <mergeCell ref="A110:H110"/>
    <mergeCell ref="A113:H113"/>
    <mergeCell ref="A104:C104"/>
    <mergeCell ref="F104:H104"/>
    <mergeCell ref="A105:C105"/>
    <mergeCell ref="F105:H105"/>
    <mergeCell ref="A106:C106"/>
    <mergeCell ref="F106:H106"/>
    <mergeCell ref="A117:C117"/>
    <mergeCell ref="E117:H117"/>
    <mergeCell ref="A118:C118"/>
    <mergeCell ref="E118:H118"/>
    <mergeCell ref="A119:C119"/>
    <mergeCell ref="E119:H119"/>
    <mergeCell ref="A114:C114"/>
    <mergeCell ref="E114:H114"/>
    <mergeCell ref="A115:C115"/>
    <mergeCell ref="E115:H115"/>
    <mergeCell ref="A116:C116"/>
    <mergeCell ref="E116:H116"/>
    <mergeCell ref="A124:C124"/>
    <mergeCell ref="E124:H124"/>
    <mergeCell ref="A125:C125"/>
    <mergeCell ref="E125:H125"/>
    <mergeCell ref="A126:C126"/>
    <mergeCell ref="E126:H126"/>
    <mergeCell ref="A120:C120"/>
    <mergeCell ref="E120:H120"/>
    <mergeCell ref="A122:C122"/>
    <mergeCell ref="E122:H122"/>
    <mergeCell ref="A123:C123"/>
    <mergeCell ref="E123:H123"/>
    <mergeCell ref="A130:C130"/>
    <mergeCell ref="E130:H130"/>
    <mergeCell ref="A131:C131"/>
    <mergeCell ref="E131:H131"/>
    <mergeCell ref="A132:C132"/>
    <mergeCell ref="E132:H132"/>
    <mergeCell ref="A127:C127"/>
    <mergeCell ref="E127:H127"/>
    <mergeCell ref="A128:C128"/>
    <mergeCell ref="E128:H128"/>
    <mergeCell ref="A129:C129"/>
    <mergeCell ref="E129:H129"/>
    <mergeCell ref="A136:C136"/>
    <mergeCell ref="E136:H136"/>
    <mergeCell ref="A137:C137"/>
    <mergeCell ref="E137:H137"/>
    <mergeCell ref="A138:H138"/>
    <mergeCell ref="A133:C133"/>
    <mergeCell ref="E133:H133"/>
    <mergeCell ref="A134:C134"/>
    <mergeCell ref="E134:H134"/>
    <mergeCell ref="A135:C135"/>
    <mergeCell ref="E135:H135"/>
    <mergeCell ref="A142:C142"/>
    <mergeCell ref="F142:H142"/>
    <mergeCell ref="A143:H143"/>
    <mergeCell ref="A144:C144"/>
    <mergeCell ref="E144:H144"/>
    <mergeCell ref="A139:C139"/>
    <mergeCell ref="F139:H139"/>
    <mergeCell ref="A140:C140"/>
    <mergeCell ref="F140:H140"/>
    <mergeCell ref="A141:C141"/>
    <mergeCell ref="F141:H141"/>
    <mergeCell ref="A152:C152"/>
    <mergeCell ref="E152:H152"/>
    <mergeCell ref="A153:C153"/>
    <mergeCell ref="E153:H153"/>
    <mergeCell ref="A154:C154"/>
    <mergeCell ref="E154:H154"/>
    <mergeCell ref="A146:H146"/>
    <mergeCell ref="A149:H149"/>
    <mergeCell ref="A150:C150"/>
    <mergeCell ref="E150:H150"/>
    <mergeCell ref="A151:C151"/>
    <mergeCell ref="E151:H151"/>
    <mergeCell ref="A159:C159"/>
    <mergeCell ref="E159:H159"/>
    <mergeCell ref="A160:C160"/>
    <mergeCell ref="E160:H160"/>
    <mergeCell ref="A161:C161"/>
    <mergeCell ref="E161:H161"/>
    <mergeCell ref="A155:C155"/>
    <mergeCell ref="E155:H155"/>
    <mergeCell ref="A156:C156"/>
    <mergeCell ref="E156:H156"/>
    <mergeCell ref="A158:C158"/>
    <mergeCell ref="E158:H158"/>
    <mergeCell ref="A165:C165"/>
    <mergeCell ref="E165:H165"/>
    <mergeCell ref="A166:C166"/>
    <mergeCell ref="E166:H166"/>
    <mergeCell ref="A167:C167"/>
    <mergeCell ref="E167:H167"/>
    <mergeCell ref="A162:C162"/>
    <mergeCell ref="E162:H162"/>
    <mergeCell ref="A163:C163"/>
    <mergeCell ref="E163:H163"/>
    <mergeCell ref="A164:C164"/>
    <mergeCell ref="E164:H164"/>
    <mergeCell ref="A171:C171"/>
    <mergeCell ref="E171:H171"/>
    <mergeCell ref="A172:C172"/>
    <mergeCell ref="E172:H172"/>
    <mergeCell ref="A173:C173"/>
    <mergeCell ref="E173:H173"/>
    <mergeCell ref="A168:C168"/>
    <mergeCell ref="E168:H168"/>
    <mergeCell ref="A169:C169"/>
    <mergeCell ref="E169:H169"/>
    <mergeCell ref="A170:C170"/>
    <mergeCell ref="E170:H170"/>
    <mergeCell ref="A180:C180"/>
    <mergeCell ref="E180:H180"/>
    <mergeCell ref="A177:C177"/>
    <mergeCell ref="F177:H177"/>
    <mergeCell ref="A178:C178"/>
    <mergeCell ref="F178:H178"/>
    <mergeCell ref="A179:H179"/>
    <mergeCell ref="A174:H174"/>
    <mergeCell ref="A175:C175"/>
    <mergeCell ref="F175:H175"/>
    <mergeCell ref="A176:C176"/>
    <mergeCell ref="F176:H176"/>
  </mergeCells>
  <dataValidations disablePrompts="1" count="4">
    <dataValidation type="list" showInputMessage="1" showErrorMessage="1" promptTitle="Yes or No?" sqref="D6 D9:D11 D15:D19 D25:D27 D42 D45:D47 D51:D55 D61:D63 D78 D81:D83 D87:D91 D97:D99 D114 D117:D119 D123:D127 D133:D135 D150 D153:D155 D159:D163 D169:D171 D186 D189:D191 D195:D199 D205:D207 D222 D225:D227 D231:D235 D241:D243 D258 D261:D263 D267:D271 D277:D279 D294 D297:D299 D303:D307 D313:D315 D330 D333:D335 D339:D343 D349:D351" xr:uid="{6F723F27-E5D1-4278-BD36-F2E96BA0E866}">
      <formula1>YesNo</formula1>
    </dataValidation>
    <dataValidation type="list" showInputMessage="1" showErrorMessage="1" promptTitle="Choose Area" sqref="A4 A40 A76 A112 A148 D13:F13 D49:F49 D85:F85 D121:F121 D157:F157 A184 D193:F193 A220 D229:F229 A256 D265:F265 A292 D301:F301 A328 D337:F337" xr:uid="{E4A4F86C-3C35-4F46-9E21-9FFF83718247}">
      <formula1>CatchNo</formula1>
    </dataValidation>
    <dataValidation type="decimal" operator="greaterThanOrEqual" allowBlank="1" showInputMessage="1" showErrorMessage="1" sqref="D152 D44 D80 D116 D8 D188 D224 D260 D296 D332" xr:uid="{2DCEB794-D7DE-4275-8ACD-D27196F1ECBE}">
      <formula1>0</formula1>
    </dataValidation>
    <dataValidation type="decimal" operator="greaterThan" allowBlank="1" showInputMessage="1" showErrorMessage="1" sqref="D7 D151 D20:D24 D28:D29 D32:D34 D43 D56:D60 D64:D65 D68:D70 D79 D92:D96 D100:D101 D104:D106 D115 D128:D132 D136:D137 D140:D142 D164:D168 D172:D173 D176:D178 D12 D120 D48 D84 D156 D187 D200:D204 D208:D209 D212:D214 D192 D223 D236:D240 D244:D245 D248:D250 D228 D259 D272:D276 D280:D281 D284:D286 D264 D295 D308:D312 D316:D317 D320:D322 D300 D331 D344:D348 D352:D353 D356:D358 D336" xr:uid="{8CE0E373-B3C5-47FE-8699-0F7A808EC4DA}">
      <formula1>0</formula1>
    </dataValidation>
  </dataValidations>
  <pageMargins left="0.5" right="0.5" top="0.75" bottom="0.5" header="0.3" footer="0.3"/>
  <pageSetup paperSize="278" orientation="portrait" r:id="rId1"/>
  <headerFooter>
    <oddHeader xml:space="preserve">&amp;C&amp;"Arial,Regular"&amp;18Stormwater Wetlands&amp;"-,Regular"
</oddHeader>
  </headerFooter>
  <rowBreaks count="10" manualBreakCount="10">
    <brk id="36" max="16383" man="1"/>
    <brk id="72" max="16383" man="1"/>
    <brk id="108" max="16383" man="1"/>
    <brk id="144" max="16383" man="1"/>
    <brk id="180" max="16383" man="1"/>
    <brk id="216" max="16383" man="1"/>
    <brk id="252" max="16383" man="1"/>
    <brk id="288" max="16383" man="1"/>
    <brk id="324" max="16383" man="1"/>
    <brk id="36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P260"/>
  <sheetViews>
    <sheetView view="pageLayout" zoomScaleNormal="100" workbookViewId="0">
      <selection activeCell="O11" sqref="O11"/>
    </sheetView>
  </sheetViews>
  <sheetFormatPr defaultColWidth="9.1796875" defaultRowHeight="12.5" x14ac:dyDescent="0.35"/>
  <cols>
    <col min="1" max="2" width="12.7265625" style="12" customWidth="1"/>
    <col min="3" max="3" width="11.453125" style="12" customWidth="1"/>
    <col min="4" max="4" width="10.7265625" style="12" customWidth="1"/>
    <col min="5" max="5" width="6.453125" style="12" customWidth="1"/>
    <col min="6" max="6" width="8.54296875" style="12" customWidth="1"/>
    <col min="7" max="7" width="12.1796875" style="12" customWidth="1"/>
    <col min="8" max="8" width="15.26953125" style="12" customWidth="1"/>
    <col min="9" max="9" width="9.1796875" style="12"/>
    <col min="10" max="13" width="9.1796875" style="12" hidden="1" customWidth="1"/>
    <col min="14" max="16384" width="9.1796875" style="12"/>
  </cols>
  <sheetData>
    <row r="1" spans="1:16" ht="13" x14ac:dyDescent="0.35">
      <c r="A1" s="16" t="s">
        <v>56</v>
      </c>
      <c r="B1" s="225" t="str">
        <f>IF('STEP 2-WQv Calculation'!$B$4="","",'STEP 2-WQv Calculation'!$B$4)</f>
        <v/>
      </c>
    </row>
    <row r="2" spans="1:16" ht="13.15" customHeight="1" x14ac:dyDescent="0.35">
      <c r="A2" s="236" t="s">
        <v>293</v>
      </c>
      <c r="B2" s="237"/>
      <c r="C2" s="237"/>
      <c r="D2" s="237"/>
      <c r="E2" s="237"/>
      <c r="F2" s="237"/>
      <c r="G2" s="237"/>
      <c r="H2" s="238"/>
      <c r="I2" s="255" t="s">
        <v>219</v>
      </c>
      <c r="J2" s="256"/>
      <c r="K2" s="256"/>
      <c r="L2" s="256"/>
      <c r="M2" s="256"/>
      <c r="N2" s="256"/>
      <c r="O2" s="49">
        <f>SUM(B4,B30,B56,B82,B108,B134,B160,B186,B212,B238)</f>
        <v>0</v>
      </c>
      <c r="P2" s="12" t="s">
        <v>223</v>
      </c>
    </row>
    <row r="3" spans="1:16" ht="46.75" customHeight="1" x14ac:dyDescent="0.35">
      <c r="A3" s="204" t="s">
        <v>60</v>
      </c>
      <c r="B3" s="205" t="s">
        <v>61</v>
      </c>
      <c r="C3" s="205" t="s">
        <v>62</v>
      </c>
      <c r="D3" s="205" t="s">
        <v>63</v>
      </c>
      <c r="E3" s="205" t="s">
        <v>64</v>
      </c>
      <c r="F3" s="205" t="s">
        <v>65</v>
      </c>
      <c r="G3" s="205" t="s">
        <v>244</v>
      </c>
      <c r="H3" s="206" t="s">
        <v>13</v>
      </c>
      <c r="I3" s="255" t="s">
        <v>245</v>
      </c>
      <c r="J3" s="256"/>
      <c r="K3" s="256"/>
      <c r="L3" s="256"/>
      <c r="M3" s="256"/>
      <c r="N3" s="256"/>
      <c r="O3" s="21">
        <f>SUM(C4,C30,C56,C82,C108,C134,C160,C186,C212,C238)</f>
        <v>0</v>
      </c>
      <c r="P3" s="12" t="s">
        <v>223</v>
      </c>
    </row>
    <row r="4" spans="1:16"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c r="I4" s="255" t="s">
        <v>227</v>
      </c>
      <c r="J4" s="256"/>
      <c r="K4" s="256"/>
      <c r="L4" s="256"/>
      <c r="M4" s="256"/>
      <c r="N4" s="256"/>
      <c r="O4" s="28">
        <f>SUM(C26,C52,C78,C104,C130,C156,C182,C208,C234,C260)</f>
        <v>0</v>
      </c>
      <c r="P4" s="12" t="s">
        <v>2</v>
      </c>
    </row>
    <row r="5" spans="1:16" ht="15" customHeight="1" x14ac:dyDescent="0.35">
      <c r="A5" s="409" t="s">
        <v>226</v>
      </c>
      <c r="B5" s="410"/>
      <c r="C5" s="410"/>
      <c r="D5" s="410"/>
      <c r="E5" s="410"/>
      <c r="F5" s="410"/>
      <c r="G5" s="410"/>
      <c r="H5" s="411"/>
      <c r="I5" s="413" t="s">
        <v>447</v>
      </c>
      <c r="J5" s="414"/>
      <c r="K5" s="414"/>
      <c r="L5" s="414"/>
      <c r="M5" s="414"/>
      <c r="N5" s="414"/>
      <c r="O5" s="28">
        <v>0</v>
      </c>
      <c r="P5" s="12" t="s">
        <v>2</v>
      </c>
    </row>
    <row r="6" spans="1:16" s="1" customFormat="1" ht="30" customHeight="1" x14ac:dyDescent="0.35">
      <c r="A6" s="242" t="s">
        <v>295</v>
      </c>
      <c r="B6" s="243"/>
      <c r="C6" s="244"/>
      <c r="D6" s="44"/>
      <c r="E6" s="322" t="str">
        <f>IF(D6="","",IF(D6&lt;0.5,"Does not meet design criteria",""))</f>
        <v/>
      </c>
      <c r="F6" s="323"/>
      <c r="G6" s="323"/>
      <c r="H6" s="324"/>
      <c r="I6" s="4"/>
    </row>
    <row r="7" spans="1:16" s="1" customFormat="1" ht="26.5" customHeight="1" x14ac:dyDescent="0.35">
      <c r="A7" s="242" t="s">
        <v>717</v>
      </c>
      <c r="B7" s="243"/>
      <c r="C7" s="244"/>
      <c r="D7" s="211"/>
      <c r="E7" s="322" t="str">
        <f>IF(D7="Yes","Two treatment practices in series required. Refer to Section 6.3.1","")</f>
        <v/>
      </c>
      <c r="F7" s="323"/>
      <c r="G7" s="323"/>
      <c r="H7" s="324"/>
      <c r="I7" s="4"/>
    </row>
    <row r="8" spans="1:16" s="1" customFormat="1" ht="26.5" customHeight="1" x14ac:dyDescent="0.35">
      <c r="A8" s="242" t="s">
        <v>718</v>
      </c>
      <c r="B8" s="243"/>
      <c r="C8" s="244"/>
      <c r="D8" s="211"/>
      <c r="E8" s="322" t="str">
        <f>IF(D8="","See Section 4.14 of the Design Manual",IF(D8="Yes","Does not meet design criteria",""))</f>
        <v>See Section 4.14 of the Design Manual</v>
      </c>
      <c r="F8" s="323"/>
      <c r="G8" s="323"/>
      <c r="H8" s="324"/>
      <c r="I8" s="4"/>
    </row>
    <row r="9" spans="1:16" s="1" customFormat="1" ht="13.9" customHeight="1" x14ac:dyDescent="0.35">
      <c r="A9" s="242" t="s">
        <v>506</v>
      </c>
      <c r="B9" s="243"/>
      <c r="C9" s="244"/>
      <c r="D9" s="135" t="str">
        <f>IF(B4="","",IF(B4&gt;5,"Yes","No"))</f>
        <v/>
      </c>
      <c r="E9" s="322" t="str">
        <f>IF(D9="Yes","Does not meet design criteria","")</f>
        <v/>
      </c>
      <c r="F9" s="323"/>
      <c r="G9" s="323"/>
      <c r="H9" s="324"/>
      <c r="I9" s="4"/>
    </row>
    <row r="10" spans="1:16" s="1" customFormat="1" ht="27.75" customHeight="1" x14ac:dyDescent="0.35">
      <c r="A10" s="242" t="s">
        <v>703</v>
      </c>
      <c r="B10" s="406"/>
      <c r="C10" s="407"/>
      <c r="D10" s="43"/>
      <c r="E10" s="322"/>
      <c r="F10" s="406"/>
      <c r="G10" s="406"/>
      <c r="H10" s="407"/>
      <c r="I10" s="4"/>
    </row>
    <row r="11" spans="1:16" s="1" customFormat="1" ht="13.9" customHeight="1" x14ac:dyDescent="0.35">
      <c r="A11" s="242" t="s">
        <v>296</v>
      </c>
      <c r="B11" s="243"/>
      <c r="C11" s="244"/>
      <c r="D11" s="43"/>
      <c r="E11" s="322" t="str">
        <f>IF(OR(AND(D10="Yes",D11&lt;4),AND(D10="No",D11&lt;2)),"Does not meet design criteria","")</f>
        <v/>
      </c>
      <c r="F11" s="323"/>
      <c r="G11" s="323"/>
      <c r="H11" s="324"/>
      <c r="I11" s="4"/>
    </row>
    <row r="12" spans="1:16" s="1" customFormat="1" ht="13.9" customHeight="1" x14ac:dyDescent="0.35">
      <c r="A12" s="242" t="s">
        <v>297</v>
      </c>
      <c r="B12" s="243"/>
      <c r="C12" s="244"/>
      <c r="D12" s="43"/>
      <c r="E12" s="322" t="str">
        <f>IF(D12="","",IF(D12&lt;2,"Does not meet design criteria",""))</f>
        <v/>
      </c>
      <c r="F12" s="323"/>
      <c r="G12" s="323"/>
      <c r="H12" s="324"/>
      <c r="I12" s="4"/>
    </row>
    <row r="13" spans="1:16" s="1" customFormat="1" ht="13.9" customHeight="1" x14ac:dyDescent="0.35">
      <c r="A13" s="242" t="s">
        <v>507</v>
      </c>
      <c r="B13" s="243"/>
      <c r="C13" s="244"/>
      <c r="D13" s="43"/>
      <c r="E13" s="322" t="str">
        <f>IF(D13="","",IF(AND(D6&lt;=10,D13&lt;(F4*0.25)),"Does not meet design criteria",IF(AND(D6&gt;10,D13&lt;(F4*0.5)),"Does not meet design criteria","")))</f>
        <v/>
      </c>
      <c r="F13" s="323"/>
      <c r="G13" s="323"/>
      <c r="H13" s="324"/>
      <c r="I13" s="4"/>
    </row>
    <row r="14" spans="1:16" s="1" customFormat="1" ht="13.9" customHeight="1" x14ac:dyDescent="0.35">
      <c r="A14" s="242" t="s">
        <v>508</v>
      </c>
      <c r="B14" s="243"/>
      <c r="C14" s="244"/>
      <c r="D14" s="43"/>
      <c r="E14" s="322" t="str">
        <f>IF(D14="","",IF(D14&lt;4,"Does not meet design criteria",""))</f>
        <v/>
      </c>
      <c r="F14" s="323"/>
      <c r="G14" s="323"/>
      <c r="H14" s="324"/>
      <c r="I14" s="4"/>
    </row>
    <row r="15" spans="1:16" s="1" customFormat="1" ht="13.9" customHeight="1" x14ac:dyDescent="0.35">
      <c r="A15" s="242" t="s">
        <v>509</v>
      </c>
      <c r="B15" s="243"/>
      <c r="C15" s="244"/>
      <c r="D15" s="43"/>
      <c r="E15" s="322" t="str">
        <f>IF(D15&gt;4,"Does not meet design criteia","")</f>
        <v/>
      </c>
      <c r="F15" s="323"/>
      <c r="G15" s="323"/>
      <c r="H15" s="324"/>
      <c r="I15" s="4"/>
    </row>
    <row r="16" spans="1:16" s="1" customFormat="1" ht="14.5" x14ac:dyDescent="0.35">
      <c r="A16" s="242" t="s">
        <v>510</v>
      </c>
      <c r="B16" s="243"/>
      <c r="C16" s="244"/>
      <c r="D16" s="211"/>
      <c r="E16" s="322" t="str">
        <f>IF(D16="No","Does not meet design criteria","")</f>
        <v/>
      </c>
      <c r="F16" s="323"/>
      <c r="G16" s="323"/>
      <c r="H16" s="324"/>
      <c r="I16" s="4"/>
    </row>
    <row r="17" spans="1:16" s="1" customFormat="1" ht="14.5" x14ac:dyDescent="0.35">
      <c r="A17" s="242" t="s">
        <v>704</v>
      </c>
      <c r="B17" s="406"/>
      <c r="C17" s="407"/>
      <c r="D17" s="43"/>
      <c r="E17" s="322" t="str">
        <f>IF(D17&lt;=15,"","A slope stability analysis is required.")</f>
        <v/>
      </c>
      <c r="F17" s="406"/>
      <c r="G17" s="406"/>
      <c r="H17" s="407"/>
      <c r="I17" s="4"/>
    </row>
    <row r="18" spans="1:16" ht="13" x14ac:dyDescent="0.35">
      <c r="A18" s="409" t="s">
        <v>232</v>
      </c>
      <c r="B18" s="410"/>
      <c r="C18" s="410"/>
      <c r="D18" s="410"/>
      <c r="E18" s="410"/>
      <c r="F18" s="410"/>
      <c r="G18" s="410"/>
      <c r="H18" s="411"/>
    </row>
    <row r="19" spans="1:16" s="34" customFormat="1" ht="15" customHeight="1" x14ac:dyDescent="0.3">
      <c r="A19" s="378"/>
      <c r="B19" s="379"/>
      <c r="C19" s="380"/>
      <c r="D19" s="222" t="s">
        <v>256</v>
      </c>
      <c r="E19" s="208" t="s">
        <v>257</v>
      </c>
      <c r="F19" s="375" t="s">
        <v>258</v>
      </c>
      <c r="G19" s="376"/>
      <c r="H19" s="377"/>
      <c r="I19" s="4"/>
      <c r="J19" s="4"/>
      <c r="K19" s="4"/>
      <c r="L19" s="4"/>
      <c r="M19" s="4"/>
      <c r="N19" s="4"/>
      <c r="O19" s="4"/>
      <c r="P19" s="4"/>
    </row>
    <row r="20" spans="1:16" ht="15" customHeight="1" x14ac:dyDescent="0.35">
      <c r="A20" s="289" t="s">
        <v>302</v>
      </c>
      <c r="B20" s="289"/>
      <c r="C20" s="198" t="s">
        <v>303</v>
      </c>
      <c r="D20" s="212" t="str">
        <f>F4</f>
        <v/>
      </c>
      <c r="E20" s="193" t="s">
        <v>2</v>
      </c>
      <c r="F20" s="344"/>
      <c r="G20" s="344"/>
      <c r="H20" s="344"/>
    </row>
    <row r="21" spans="1:16" x14ac:dyDescent="0.35">
      <c r="A21" s="289" t="s">
        <v>405</v>
      </c>
      <c r="B21" s="289"/>
      <c r="C21" s="198" t="s">
        <v>268</v>
      </c>
      <c r="D21" s="3">
        <v>0.4</v>
      </c>
      <c r="E21" s="193"/>
      <c r="F21" s="322"/>
      <c r="G21" s="323"/>
      <c r="H21" s="324"/>
    </row>
    <row r="22" spans="1:16" ht="15" customHeight="1" x14ac:dyDescent="0.35">
      <c r="A22" s="289" t="s">
        <v>511</v>
      </c>
      <c r="B22" s="289"/>
      <c r="C22" s="198" t="s">
        <v>512</v>
      </c>
      <c r="D22" s="153">
        <f>D15</f>
        <v>0</v>
      </c>
      <c r="E22" s="193" t="s">
        <v>271</v>
      </c>
      <c r="F22" s="344" t="str">
        <f>IF(D22&gt;4,"Does not meet design criteia","")</f>
        <v/>
      </c>
      <c r="G22" s="344"/>
      <c r="H22" s="344"/>
    </row>
    <row r="23" spans="1:16" ht="15" customHeight="1" x14ac:dyDescent="0.35">
      <c r="A23" s="334" t="s">
        <v>513</v>
      </c>
      <c r="B23" s="334"/>
      <c r="C23" s="217" t="s">
        <v>514</v>
      </c>
      <c r="D23" s="22" t="e">
        <f>ROUNDUP(D20/(D21*D22),0)</f>
        <v>#VALUE!</v>
      </c>
      <c r="E23" s="144" t="s">
        <v>316</v>
      </c>
      <c r="F23" s="387"/>
      <c r="G23" s="388"/>
      <c r="H23" s="389"/>
    </row>
    <row r="24" spans="1:16" ht="15" customHeight="1" x14ac:dyDescent="0.35">
      <c r="A24" s="334" t="s">
        <v>515</v>
      </c>
      <c r="B24" s="334"/>
      <c r="C24" s="217" t="s">
        <v>514</v>
      </c>
      <c r="D24" s="218"/>
      <c r="E24" s="144" t="s">
        <v>316</v>
      </c>
      <c r="F24" s="387" t="str">
        <f>IF(D24="","",IF(D24&lt;D23,"Does not meet design critiera",""))</f>
        <v/>
      </c>
      <c r="G24" s="388"/>
      <c r="H24" s="389"/>
    </row>
    <row r="25" spans="1:16" ht="15" customHeight="1" x14ac:dyDescent="0.35">
      <c r="A25" s="412" t="s">
        <v>372</v>
      </c>
      <c r="B25" s="412"/>
      <c r="C25" s="412"/>
      <c r="D25" s="412"/>
      <c r="E25" s="412"/>
      <c r="F25" s="412"/>
      <c r="G25" s="412"/>
      <c r="H25" s="412"/>
    </row>
    <row r="26" spans="1:16" ht="15" customHeight="1" x14ac:dyDescent="0.35">
      <c r="A26" s="335" t="s">
        <v>241</v>
      </c>
      <c r="B26" s="335"/>
      <c r="C26" s="9" t="str">
        <f>IF(A4="","",IF(D8="Yes",0,IF(D6&lt;0.5,0,IF(D9="Yes",0,IF(D11&lt;2,0,IF(D12&lt;2,0,IF(AND(D6&lt;=10,D13&lt;(F4*0.25)),0,IF(AND(D6&gt;10,D13&lt;(F4*0.5)),0,IF(D14&lt;4,0,IF(D15&gt;4,0,IF(D16="No",0,IF(D24&lt;D23,0,IF(AND(D10="Yes",D11&lt;4),0,F4*1)))))))))))))</f>
        <v/>
      </c>
      <c r="D26" s="339" t="s">
        <v>2</v>
      </c>
      <c r="E26" s="340"/>
      <c r="F26" s="340"/>
      <c r="G26" s="340"/>
      <c r="H26" s="341"/>
    </row>
    <row r="27" spans="1:16" ht="13.15" customHeight="1" x14ac:dyDescent="0.35">
      <c r="A27" s="16" t="s">
        <v>56</v>
      </c>
      <c r="B27" s="225" t="str">
        <f>IF('STEP 2-WQv Calculation'!$B$4="","",'STEP 2-WQv Calculation'!$B$4)</f>
        <v/>
      </c>
    </row>
    <row r="28" spans="1:16" ht="13.15" customHeight="1" x14ac:dyDescent="0.35">
      <c r="A28" s="236" t="s">
        <v>293</v>
      </c>
      <c r="B28" s="237"/>
      <c r="C28" s="237"/>
      <c r="D28" s="237"/>
      <c r="E28" s="237"/>
      <c r="F28" s="237"/>
      <c r="G28" s="237"/>
      <c r="H28" s="238"/>
    </row>
    <row r="29" spans="1:16" ht="39" customHeight="1" x14ac:dyDescent="0.35">
      <c r="A29" s="204" t="s">
        <v>60</v>
      </c>
      <c r="B29" s="205" t="s">
        <v>61</v>
      </c>
      <c r="C29" s="205" t="s">
        <v>62</v>
      </c>
      <c r="D29" s="205" t="s">
        <v>63</v>
      </c>
      <c r="E29" s="205" t="s">
        <v>64</v>
      </c>
      <c r="F29" s="205" t="s">
        <v>65</v>
      </c>
      <c r="G29" s="205" t="s">
        <v>244</v>
      </c>
      <c r="H29" s="206" t="s">
        <v>13</v>
      </c>
    </row>
    <row r="30" spans="1:16" x14ac:dyDescent="0.35">
      <c r="A30" s="218"/>
      <c r="B30" s="3" t="str">
        <f>IF($A30="","",(LOOKUP($A30,'STEP 2-WQv Calculation'!$A$8:$A$37,'STEP 2-WQv Calculation'!$B$8:$B$37)))</f>
        <v/>
      </c>
      <c r="C30" s="3" t="str">
        <f>IF($A30="","",(LOOKUP($A30,'STEP 2-WQv Calculation'!$A$8:$A$37,'STEP 2-WQv Calculation'!$C$8:$C$37)))</f>
        <v/>
      </c>
      <c r="D30" s="212" t="str">
        <f>IF($A30="","",(LOOKUP($A30,'STEP 2-WQv Calculation'!$A$8:$A$37,'STEP 2-WQv Calculation'!$D$8:$D$37)))</f>
        <v/>
      </c>
      <c r="E30" s="3" t="str">
        <f>IF($A30="","",(LOOKUP($A30,'STEP 2-WQv Calculation'!$A$8:$A$37,'STEP 2-WQv Calculation'!$E$8:$E$37)))</f>
        <v/>
      </c>
      <c r="F30" s="217" t="str">
        <f>IF($A30="","",(LOOKUP($A30,'STEP 2-WQv Calculation'!$A$8:$A$37,'STEP 2-WQv Calculation'!$F$8:$F$37)))</f>
        <v/>
      </c>
      <c r="G30" s="22">
        <f>'STEP 2-WQv Calculation'!B5</f>
        <v>0</v>
      </c>
      <c r="H30" s="198" t="str">
        <f>IF($A30="","",(LOOKUP($A30,'STEP 2-WQv Calculation'!$A$8:$A$37,'STEP 2-WQv Calculation'!$G$8:$G$37)))</f>
        <v/>
      </c>
    </row>
    <row r="31" spans="1:16" ht="13.15" customHeight="1" x14ac:dyDescent="0.35">
      <c r="A31" s="409" t="s">
        <v>226</v>
      </c>
      <c r="B31" s="410"/>
      <c r="C31" s="410"/>
      <c r="D31" s="410"/>
      <c r="E31" s="410"/>
      <c r="F31" s="410"/>
      <c r="G31" s="410"/>
      <c r="H31" s="411"/>
    </row>
    <row r="32" spans="1:16" ht="28.9" customHeight="1" x14ac:dyDescent="0.35">
      <c r="A32" s="242" t="s">
        <v>295</v>
      </c>
      <c r="B32" s="243"/>
      <c r="C32" s="244"/>
      <c r="D32" s="44"/>
      <c r="E32" s="322" t="str">
        <f>IF(D32="","",IF(D32&lt;0.5,"Does not meet design criteria",""))</f>
        <v/>
      </c>
      <c r="F32" s="323"/>
      <c r="G32" s="323"/>
      <c r="H32" s="324"/>
    </row>
    <row r="33" spans="1:9" ht="30.25" customHeight="1" x14ac:dyDescent="0.35">
      <c r="A33" s="242" t="s">
        <v>717</v>
      </c>
      <c r="B33" s="243"/>
      <c r="C33" s="244"/>
      <c r="D33" s="211"/>
      <c r="E33" s="322" t="str">
        <f>IF(D33="Yes","Two treatment practices in series required. Refer to Section 6.3.1","")</f>
        <v/>
      </c>
      <c r="F33" s="323"/>
      <c r="G33" s="323"/>
      <c r="H33" s="324"/>
    </row>
    <row r="34" spans="1:9" s="1" customFormat="1" ht="26.5" customHeight="1" x14ac:dyDescent="0.35">
      <c r="A34" s="242" t="s">
        <v>718</v>
      </c>
      <c r="B34" s="243"/>
      <c r="C34" s="244"/>
      <c r="D34" s="211"/>
      <c r="E34" s="322" t="str">
        <f>IF(D34="","See Section 4.14 of the Design Manual",IF(D34="Yes","Does not meet design criteria",""))</f>
        <v>See Section 4.14 of the Design Manual</v>
      </c>
      <c r="F34" s="323"/>
      <c r="G34" s="323"/>
      <c r="H34" s="324"/>
      <c r="I34" s="4"/>
    </row>
    <row r="35" spans="1:9" ht="12.75" customHeight="1" x14ac:dyDescent="0.35">
      <c r="A35" s="242" t="s">
        <v>506</v>
      </c>
      <c r="B35" s="243"/>
      <c r="C35" s="244"/>
      <c r="D35" s="135" t="str">
        <f>IF(B30="","",IF(B30&gt;5,"Yes","No"))</f>
        <v/>
      </c>
      <c r="E35" s="322" t="str">
        <f>IF(D35="Yes","Does not meet design criteria","")</f>
        <v/>
      </c>
      <c r="F35" s="323"/>
      <c r="G35" s="323"/>
      <c r="H35" s="324"/>
    </row>
    <row r="36" spans="1:9" ht="27.75" customHeight="1" x14ac:dyDescent="0.35">
      <c r="A36" s="242" t="s">
        <v>703</v>
      </c>
      <c r="B36" s="406"/>
      <c r="C36" s="407"/>
      <c r="D36" s="43"/>
      <c r="E36" s="322"/>
      <c r="F36" s="406"/>
      <c r="G36" s="406"/>
      <c r="H36" s="407"/>
    </row>
    <row r="37" spans="1:9" ht="12.75" customHeight="1" x14ac:dyDescent="0.35">
      <c r="A37" s="242" t="s">
        <v>296</v>
      </c>
      <c r="B37" s="243"/>
      <c r="C37" s="244"/>
      <c r="D37" s="43"/>
      <c r="E37" s="322" t="str">
        <f>IF(OR(AND(D36="Yes",D37&lt;4),AND(D36="No",D37&lt;2)),"Does not meet design criteria","")</f>
        <v/>
      </c>
      <c r="F37" s="323"/>
      <c r="G37" s="323"/>
      <c r="H37" s="324"/>
    </row>
    <row r="38" spans="1:9" ht="15" customHeight="1" x14ac:dyDescent="0.35">
      <c r="A38" s="242" t="s">
        <v>297</v>
      </c>
      <c r="B38" s="243"/>
      <c r="C38" s="244"/>
      <c r="D38" s="43"/>
      <c r="E38" s="322" t="str">
        <f>IF(D38="","",IF(D38&lt;2,"Does not meet design criteria",""))</f>
        <v/>
      </c>
      <c r="F38" s="323"/>
      <c r="G38" s="323"/>
      <c r="H38" s="324"/>
    </row>
    <row r="39" spans="1:9" ht="15" customHeight="1" x14ac:dyDescent="0.35">
      <c r="A39" s="242" t="s">
        <v>507</v>
      </c>
      <c r="B39" s="243"/>
      <c r="C39" s="244"/>
      <c r="D39" s="43"/>
      <c r="E39" s="322" t="str">
        <f>IF(D39="","",IF(AND(D32&lt;=10,D39&lt;(F30*0.25)),"Does not meet design criteria",IF(AND(D32&gt;10,D39&lt;(F30*0.5)),"Does not meet design criteria","")))</f>
        <v/>
      </c>
      <c r="F39" s="323"/>
      <c r="G39" s="323"/>
      <c r="H39" s="324"/>
    </row>
    <row r="40" spans="1:9" ht="15" customHeight="1" x14ac:dyDescent="0.35">
      <c r="A40" s="242" t="s">
        <v>508</v>
      </c>
      <c r="B40" s="243"/>
      <c r="C40" s="244"/>
      <c r="D40" s="43"/>
      <c r="E40" s="322" t="str">
        <f>IF(D40="","",IF(D40&lt;4,"Does not meet design criteria",""))</f>
        <v/>
      </c>
      <c r="F40" s="323"/>
      <c r="G40" s="323"/>
      <c r="H40" s="324"/>
    </row>
    <row r="41" spans="1:9" ht="15" customHeight="1" x14ac:dyDescent="0.35">
      <c r="A41" s="242" t="s">
        <v>509</v>
      </c>
      <c r="B41" s="243"/>
      <c r="C41" s="244"/>
      <c r="D41" s="43"/>
      <c r="E41" s="322" t="str">
        <f>IF(D41&gt;4,"Does not meet design criteia","")</f>
        <v/>
      </c>
      <c r="F41" s="323"/>
      <c r="G41" s="323"/>
      <c r="H41" s="324"/>
    </row>
    <row r="42" spans="1:9" ht="15" customHeight="1" x14ac:dyDescent="0.35">
      <c r="A42" s="242" t="s">
        <v>510</v>
      </c>
      <c r="B42" s="243"/>
      <c r="C42" s="244"/>
      <c r="D42" s="211"/>
      <c r="E42" s="322" t="str">
        <f>IF(D42="No","Does not meet design criteria","")</f>
        <v/>
      </c>
      <c r="F42" s="323"/>
      <c r="G42" s="323"/>
      <c r="H42" s="324"/>
    </row>
    <row r="43" spans="1:9" ht="15" customHeight="1" x14ac:dyDescent="0.35">
      <c r="A43" s="242" t="s">
        <v>704</v>
      </c>
      <c r="B43" s="406"/>
      <c r="C43" s="407"/>
      <c r="D43" s="43"/>
      <c r="E43" s="322" t="str">
        <f>IF(D43&lt;=15,"","A slope stability analysis is required.")</f>
        <v/>
      </c>
      <c r="F43" s="406"/>
      <c r="G43" s="406"/>
      <c r="H43" s="407"/>
    </row>
    <row r="44" spans="1:9" ht="13.15" customHeight="1" x14ac:dyDescent="0.35">
      <c r="A44" s="409" t="s">
        <v>232</v>
      </c>
      <c r="B44" s="410"/>
      <c r="C44" s="410"/>
      <c r="D44" s="410"/>
      <c r="E44" s="410"/>
      <c r="F44" s="410"/>
      <c r="G44" s="410"/>
      <c r="H44" s="411"/>
    </row>
    <row r="45" spans="1:9" ht="15" customHeight="1" x14ac:dyDescent="0.35">
      <c r="A45" s="378"/>
      <c r="B45" s="379"/>
      <c r="C45" s="380"/>
      <c r="D45" s="222" t="s">
        <v>256</v>
      </c>
      <c r="E45" s="208" t="s">
        <v>257</v>
      </c>
      <c r="F45" s="375" t="s">
        <v>258</v>
      </c>
      <c r="G45" s="376"/>
      <c r="H45" s="377"/>
    </row>
    <row r="46" spans="1:9" ht="15" customHeight="1" x14ac:dyDescent="0.35">
      <c r="A46" s="289" t="s">
        <v>302</v>
      </c>
      <c r="B46" s="289"/>
      <c r="C46" s="198" t="s">
        <v>303</v>
      </c>
      <c r="D46" s="212" t="str">
        <f>F30</f>
        <v/>
      </c>
      <c r="E46" s="193" t="s">
        <v>2</v>
      </c>
      <c r="F46" s="344"/>
      <c r="G46" s="344"/>
      <c r="H46" s="344"/>
    </row>
    <row r="47" spans="1:9" ht="45.25" customHeight="1" x14ac:dyDescent="0.35">
      <c r="A47" s="289" t="s">
        <v>405</v>
      </c>
      <c r="B47" s="289"/>
      <c r="C47" s="198" t="s">
        <v>268</v>
      </c>
      <c r="D47" s="3">
        <v>0.4</v>
      </c>
      <c r="E47" s="193"/>
      <c r="F47" s="322"/>
      <c r="G47" s="323"/>
      <c r="H47" s="324"/>
    </row>
    <row r="48" spans="1:9" ht="15" customHeight="1" x14ac:dyDescent="0.35">
      <c r="A48" s="289" t="s">
        <v>511</v>
      </c>
      <c r="B48" s="289"/>
      <c r="C48" s="198" t="s">
        <v>512</v>
      </c>
      <c r="D48" s="153">
        <f>D41</f>
        <v>0</v>
      </c>
      <c r="E48" s="193" t="s">
        <v>271</v>
      </c>
      <c r="F48" s="344" t="str">
        <f>IF(D48&gt;4,"Does not meet design criteia","")</f>
        <v/>
      </c>
      <c r="G48" s="344"/>
      <c r="H48" s="344"/>
    </row>
    <row r="49" spans="1:9" ht="15" customHeight="1" x14ac:dyDescent="0.35">
      <c r="A49" s="334" t="s">
        <v>513</v>
      </c>
      <c r="B49" s="334"/>
      <c r="C49" s="217" t="s">
        <v>514</v>
      </c>
      <c r="D49" s="22" t="e">
        <f>ROUNDUP(D46/(D47*D48),0)</f>
        <v>#VALUE!</v>
      </c>
      <c r="E49" s="144" t="s">
        <v>316</v>
      </c>
      <c r="F49" s="387"/>
      <c r="G49" s="388"/>
      <c r="H49" s="389"/>
    </row>
    <row r="50" spans="1:9" ht="15" customHeight="1" x14ac:dyDescent="0.35">
      <c r="A50" s="334" t="s">
        <v>515</v>
      </c>
      <c r="B50" s="334"/>
      <c r="C50" s="217" t="s">
        <v>514</v>
      </c>
      <c r="D50" s="218"/>
      <c r="E50" s="144" t="s">
        <v>316</v>
      </c>
      <c r="F50" s="387" t="str">
        <f>IF(D50="","",IF(D50&lt;D49,"Does not meet design critiera",""))</f>
        <v/>
      </c>
      <c r="G50" s="388"/>
      <c r="H50" s="389"/>
    </row>
    <row r="51" spans="1:9" ht="15" customHeight="1" x14ac:dyDescent="0.35">
      <c r="A51" s="412" t="s">
        <v>372</v>
      </c>
      <c r="B51" s="412"/>
      <c r="C51" s="412"/>
      <c r="D51" s="412"/>
      <c r="E51" s="412"/>
      <c r="F51" s="412"/>
      <c r="G51" s="412"/>
      <c r="H51" s="412"/>
    </row>
    <row r="52" spans="1:9" ht="15" customHeight="1" x14ac:dyDescent="0.35">
      <c r="A52" s="335" t="s">
        <v>241</v>
      </c>
      <c r="B52" s="335"/>
      <c r="C52" s="9" t="str">
        <f>IF(A30="","",IF(D34="Yes",0,IF(D32&lt;0.5,0,IF(D35="Yes",0,IF(D37&lt;2,0,IF(D38&lt;2,0,IF(AND(D32&lt;=10,D39&lt;(F30*0.25)),0,IF(AND(D32&gt;10,D39&lt;(F30*0.5)),0,IF(D40&lt;4,0,IF(D41&gt;4,0,IF(D42="No",0,IF(D50&lt;D49,0,IF(AND(D36="Yes",D37&lt;4),0,F30*1)))))))))))))</f>
        <v/>
      </c>
      <c r="D52" s="339" t="s">
        <v>2</v>
      </c>
      <c r="E52" s="340"/>
      <c r="F52" s="340"/>
      <c r="G52" s="340"/>
      <c r="H52" s="341"/>
    </row>
    <row r="53" spans="1:9" ht="13" x14ac:dyDescent="0.35">
      <c r="A53" s="16" t="s">
        <v>56</v>
      </c>
      <c r="B53" s="225" t="str">
        <f>IF('STEP 2-WQv Calculation'!$B$4="","",'STEP 2-WQv Calculation'!$B$4)</f>
        <v/>
      </c>
    </row>
    <row r="54" spans="1:9" ht="15" customHeight="1" x14ac:dyDescent="0.35">
      <c r="A54" s="236" t="s">
        <v>293</v>
      </c>
      <c r="B54" s="237"/>
      <c r="C54" s="237"/>
      <c r="D54" s="237"/>
      <c r="E54" s="237"/>
      <c r="F54" s="237"/>
      <c r="G54" s="237"/>
      <c r="H54" s="238"/>
    </row>
    <row r="55" spans="1:9" ht="39" customHeight="1" x14ac:dyDescent="0.35">
      <c r="A55" s="204" t="s">
        <v>60</v>
      </c>
      <c r="B55" s="205" t="s">
        <v>61</v>
      </c>
      <c r="C55" s="205" t="s">
        <v>62</v>
      </c>
      <c r="D55" s="205" t="s">
        <v>63</v>
      </c>
      <c r="E55" s="205" t="s">
        <v>64</v>
      </c>
      <c r="F55" s="205" t="s">
        <v>65</v>
      </c>
      <c r="G55" s="205" t="s">
        <v>244</v>
      </c>
      <c r="H55" s="206" t="s">
        <v>13</v>
      </c>
    </row>
    <row r="56" spans="1:9" x14ac:dyDescent="0.35">
      <c r="A56" s="218"/>
      <c r="B56" s="3" t="str">
        <f>IF($A56="","",(LOOKUP($A56,'STEP 2-WQv Calculation'!$A$8:$A$37,'STEP 2-WQv Calculation'!$B$8:$B$37)))</f>
        <v/>
      </c>
      <c r="C56" s="3" t="str">
        <f>IF($A56="","",(LOOKUP($A56,'STEP 2-WQv Calculation'!$A$8:$A$37,'STEP 2-WQv Calculation'!$C$8:$C$37)))</f>
        <v/>
      </c>
      <c r="D56" s="212" t="str">
        <f>IF($A56="","",(LOOKUP($A56,'STEP 2-WQv Calculation'!$A$8:$A$37,'STEP 2-WQv Calculation'!$D$8:$D$37)))</f>
        <v/>
      </c>
      <c r="E56" s="3" t="str">
        <f>IF($A56="","",(LOOKUP($A56,'STEP 2-WQv Calculation'!$A$8:$A$37,'STEP 2-WQv Calculation'!$E$8:$E$37)))</f>
        <v/>
      </c>
      <c r="F56" s="217" t="str">
        <f>IF($A56="","",(LOOKUP($A56,'STEP 2-WQv Calculation'!$A$8:$A$37,'STEP 2-WQv Calculation'!$F$8:$F$37)))</f>
        <v/>
      </c>
      <c r="G56" s="22">
        <f>'STEP 2-WQv Calculation'!B5</f>
        <v>0</v>
      </c>
      <c r="H56" s="198" t="str">
        <f>IF($A56="","",(LOOKUP($A56,'STEP 2-WQv Calculation'!$A$8:$A$37,'STEP 2-WQv Calculation'!$G$8:$G$37)))</f>
        <v/>
      </c>
    </row>
    <row r="57" spans="1:9" ht="30.25" customHeight="1" x14ac:dyDescent="0.35">
      <c r="A57" s="409" t="s">
        <v>226</v>
      </c>
      <c r="B57" s="410"/>
      <c r="C57" s="410"/>
      <c r="D57" s="410"/>
      <c r="E57" s="410"/>
      <c r="F57" s="410"/>
      <c r="G57" s="410"/>
      <c r="H57" s="411"/>
    </row>
    <row r="58" spans="1:9" ht="28.9" customHeight="1" x14ac:dyDescent="0.35">
      <c r="A58" s="242" t="s">
        <v>295</v>
      </c>
      <c r="B58" s="243"/>
      <c r="C58" s="244"/>
      <c r="D58" s="44"/>
      <c r="E58" s="322" t="str">
        <f>IF(D58="","",IF(D58&lt;0.5,"Does not meet design criteria",""))</f>
        <v/>
      </c>
      <c r="F58" s="323"/>
      <c r="G58" s="323"/>
      <c r="H58" s="324"/>
    </row>
    <row r="59" spans="1:9" ht="28.9" customHeight="1" x14ac:dyDescent="0.35">
      <c r="A59" s="242" t="s">
        <v>717</v>
      </c>
      <c r="B59" s="243"/>
      <c r="C59" s="244"/>
      <c r="D59" s="211"/>
      <c r="E59" s="322" t="str">
        <f>IF(D59="Yes","Two treatment practices in series required. Refer to Section 6.3.1","")</f>
        <v/>
      </c>
      <c r="F59" s="323"/>
      <c r="G59" s="323"/>
      <c r="H59" s="324"/>
    </row>
    <row r="60" spans="1:9" s="1" customFormat="1" ht="26.5" customHeight="1" x14ac:dyDescent="0.35">
      <c r="A60" s="242" t="s">
        <v>718</v>
      </c>
      <c r="B60" s="243"/>
      <c r="C60" s="244"/>
      <c r="D60" s="211"/>
      <c r="E60" s="322" t="str">
        <f>IF(D60="","See Section 4.14 of the Design Manual",IF(D60="Yes","Does not meet design criteria",""))</f>
        <v>See Section 4.14 of the Design Manual</v>
      </c>
      <c r="F60" s="323"/>
      <c r="G60" s="323"/>
      <c r="H60" s="324"/>
      <c r="I60" s="4"/>
    </row>
    <row r="61" spans="1:9" ht="12.75" customHeight="1" x14ac:dyDescent="0.35">
      <c r="A61" s="242" t="s">
        <v>506</v>
      </c>
      <c r="B61" s="243"/>
      <c r="C61" s="244"/>
      <c r="D61" s="135" t="str">
        <f>IF(B56="","",IF(B56&gt;5,"Yes","No"))</f>
        <v/>
      </c>
      <c r="E61" s="322" t="str">
        <f>IF(D61="Yes","Does not meet design criteria","")</f>
        <v/>
      </c>
      <c r="F61" s="323"/>
      <c r="G61" s="323"/>
      <c r="H61" s="324"/>
    </row>
    <row r="62" spans="1:9" ht="27" customHeight="1" x14ac:dyDescent="0.35">
      <c r="A62" s="242" t="s">
        <v>703</v>
      </c>
      <c r="B62" s="406"/>
      <c r="C62" s="407"/>
      <c r="D62" s="43"/>
      <c r="E62" s="322"/>
      <c r="F62" s="406"/>
      <c r="G62" s="406"/>
      <c r="H62" s="407"/>
    </row>
    <row r="63" spans="1:9" ht="12.75" customHeight="1" x14ac:dyDescent="0.35">
      <c r="A63" s="242" t="s">
        <v>296</v>
      </c>
      <c r="B63" s="243"/>
      <c r="C63" s="244"/>
      <c r="D63" s="43"/>
      <c r="E63" s="322" t="str">
        <f>IF(OR(AND(D62="Yes",D63&lt;4),AND(D62="No",D63&lt;2)),"Does not meet design criteria","")</f>
        <v/>
      </c>
      <c r="F63" s="323"/>
      <c r="G63" s="323"/>
      <c r="H63" s="324"/>
    </row>
    <row r="64" spans="1:9" ht="12.75" customHeight="1" x14ac:dyDescent="0.35">
      <c r="A64" s="242" t="s">
        <v>297</v>
      </c>
      <c r="B64" s="243"/>
      <c r="C64" s="244"/>
      <c r="D64" s="43"/>
      <c r="E64" s="322" t="str">
        <f>IF(D64="","",IF(D64&lt;2,"Does not meet design criteria",""))</f>
        <v/>
      </c>
      <c r="F64" s="323"/>
      <c r="G64" s="323"/>
      <c r="H64" s="324"/>
    </row>
    <row r="65" spans="1:8" ht="12.75" customHeight="1" x14ac:dyDescent="0.35">
      <c r="A65" s="242" t="s">
        <v>507</v>
      </c>
      <c r="B65" s="243"/>
      <c r="C65" s="244"/>
      <c r="D65" s="43"/>
      <c r="E65" s="322" t="str">
        <f>IF(D65="","",IF(AND(D58&lt;=10,D65&lt;(F56*0.25)),"Does not meet design criteria",IF(AND(D58&gt;10,D65&lt;(F56*0.5)),"Does not meet design criteria","")))</f>
        <v/>
      </c>
      <c r="F65" s="323"/>
      <c r="G65" s="323"/>
      <c r="H65" s="324"/>
    </row>
    <row r="66" spans="1:8" ht="12.75" customHeight="1" x14ac:dyDescent="0.35">
      <c r="A66" s="242" t="s">
        <v>508</v>
      </c>
      <c r="B66" s="243"/>
      <c r="C66" s="244"/>
      <c r="D66" s="43"/>
      <c r="E66" s="322" t="str">
        <f>IF(D66="","",IF(D66&lt;4,"Does not meet design criteria",""))</f>
        <v/>
      </c>
      <c r="F66" s="323"/>
      <c r="G66" s="323"/>
      <c r="H66" s="324"/>
    </row>
    <row r="67" spans="1:8" ht="15" customHeight="1" x14ac:dyDescent="0.35">
      <c r="A67" s="242" t="s">
        <v>509</v>
      </c>
      <c r="B67" s="243"/>
      <c r="C67" s="244"/>
      <c r="D67" s="43"/>
      <c r="E67" s="322" t="str">
        <f>IF(D67&gt;4,"Does not meet design criteia","")</f>
        <v/>
      </c>
      <c r="F67" s="323"/>
      <c r="G67" s="323"/>
      <c r="H67" s="324"/>
    </row>
    <row r="68" spans="1:8" ht="12.75" customHeight="1" x14ac:dyDescent="0.35">
      <c r="A68" s="242" t="s">
        <v>510</v>
      </c>
      <c r="B68" s="243"/>
      <c r="C68" s="244"/>
      <c r="D68" s="211"/>
      <c r="E68" s="322" t="str">
        <f>IF(D68="No","Does not meet design criteria","")</f>
        <v/>
      </c>
      <c r="F68" s="323"/>
      <c r="G68" s="323"/>
      <c r="H68" s="324"/>
    </row>
    <row r="69" spans="1:8" ht="12.75" customHeight="1" x14ac:dyDescent="0.35">
      <c r="A69" s="242" t="s">
        <v>704</v>
      </c>
      <c r="B69" s="406"/>
      <c r="C69" s="407"/>
      <c r="D69" s="43"/>
      <c r="E69" s="322" t="str">
        <f>IF(D69&lt;=15,"","A slope stability analysis is required.")</f>
        <v/>
      </c>
      <c r="F69" s="406"/>
      <c r="G69" s="406"/>
      <c r="H69" s="407"/>
    </row>
    <row r="70" spans="1:8" ht="13.15" customHeight="1" x14ac:dyDescent="0.35">
      <c r="A70" s="409" t="s">
        <v>232</v>
      </c>
      <c r="B70" s="410"/>
      <c r="C70" s="410"/>
      <c r="D70" s="410"/>
      <c r="E70" s="410"/>
      <c r="F70" s="410"/>
      <c r="G70" s="410"/>
      <c r="H70" s="411"/>
    </row>
    <row r="71" spans="1:8" ht="30.25" customHeight="1" x14ac:dyDescent="0.35">
      <c r="A71" s="378"/>
      <c r="B71" s="379"/>
      <c r="C71" s="380"/>
      <c r="D71" s="222" t="s">
        <v>256</v>
      </c>
      <c r="E71" s="208" t="s">
        <v>257</v>
      </c>
      <c r="F71" s="375" t="s">
        <v>258</v>
      </c>
      <c r="G71" s="376"/>
      <c r="H71" s="377"/>
    </row>
    <row r="72" spans="1:8" ht="15" customHeight="1" x14ac:dyDescent="0.35">
      <c r="A72" s="289" t="s">
        <v>302</v>
      </c>
      <c r="B72" s="289"/>
      <c r="C72" s="198" t="s">
        <v>303</v>
      </c>
      <c r="D72" s="212" t="str">
        <f>F56</f>
        <v/>
      </c>
      <c r="E72" s="193" t="s">
        <v>2</v>
      </c>
      <c r="F72" s="344"/>
      <c r="G72" s="344"/>
      <c r="H72" s="344"/>
    </row>
    <row r="73" spans="1:8" ht="15" customHeight="1" x14ac:dyDescent="0.35">
      <c r="A73" s="289" t="s">
        <v>405</v>
      </c>
      <c r="B73" s="289"/>
      <c r="C73" s="198" t="s">
        <v>268</v>
      </c>
      <c r="D73" s="3">
        <v>0.4</v>
      </c>
      <c r="E73" s="193"/>
      <c r="F73" s="322"/>
      <c r="G73" s="323"/>
      <c r="H73" s="324"/>
    </row>
    <row r="74" spans="1:8" ht="15" customHeight="1" x14ac:dyDescent="0.35">
      <c r="A74" s="289" t="s">
        <v>511</v>
      </c>
      <c r="B74" s="289"/>
      <c r="C74" s="198" t="s">
        <v>512</v>
      </c>
      <c r="D74" s="153">
        <f>D67</f>
        <v>0</v>
      </c>
      <c r="E74" s="193" t="s">
        <v>271</v>
      </c>
      <c r="F74" s="344" t="str">
        <f>IF(D74&gt;4,"Does not meet design criteia","")</f>
        <v/>
      </c>
      <c r="G74" s="344"/>
      <c r="H74" s="344"/>
    </row>
    <row r="75" spans="1:8" ht="15" customHeight="1" x14ac:dyDescent="0.35">
      <c r="A75" s="334" t="s">
        <v>513</v>
      </c>
      <c r="B75" s="334"/>
      <c r="C75" s="217" t="s">
        <v>514</v>
      </c>
      <c r="D75" s="22" t="e">
        <f>ROUNDUP(D72/(D73*D74),0)</f>
        <v>#VALUE!</v>
      </c>
      <c r="E75" s="144" t="s">
        <v>316</v>
      </c>
      <c r="F75" s="387"/>
      <c r="G75" s="388"/>
      <c r="H75" s="389"/>
    </row>
    <row r="76" spans="1:8" ht="15" customHeight="1" x14ac:dyDescent="0.35">
      <c r="A76" s="334" t="s">
        <v>515</v>
      </c>
      <c r="B76" s="334"/>
      <c r="C76" s="217" t="s">
        <v>514</v>
      </c>
      <c r="D76" s="218"/>
      <c r="E76" s="144" t="s">
        <v>316</v>
      </c>
      <c r="F76" s="387" t="str">
        <f>IF(D76="","",IF(D76&lt;D75,"Does not meet design critiera",""))</f>
        <v/>
      </c>
      <c r="G76" s="388"/>
      <c r="H76" s="389"/>
    </row>
    <row r="77" spans="1:8" ht="13.15" customHeight="1" x14ac:dyDescent="0.35">
      <c r="A77" s="412" t="s">
        <v>372</v>
      </c>
      <c r="B77" s="412"/>
      <c r="C77" s="412"/>
      <c r="D77" s="412"/>
      <c r="E77" s="412"/>
      <c r="F77" s="412"/>
      <c r="G77" s="412"/>
      <c r="H77" s="412"/>
    </row>
    <row r="78" spans="1:8" ht="15" customHeight="1" x14ac:dyDescent="0.35">
      <c r="A78" s="335" t="s">
        <v>241</v>
      </c>
      <c r="B78" s="335"/>
      <c r="C78" s="9" t="str">
        <f>IF(A56="","",IF(D60="Yes",0,IF(D58&lt;0.5,0,IF(D61="Yes",0,IF(D63&lt;2,0,IF(D64&lt;2,0,IF(AND(D58&lt;=10,D65&lt;(F56*0.25)),0,IF(AND(D58&gt;10,D65&lt;(F56*0.5)),0,IF(D66&lt;4,0,IF(D67&gt;4,0,IF(D68="No",0,IF(D76&lt;D75,0,IF(AND(D62="Yes",D63&lt;4),0,F56*1)))))))))))))</f>
        <v/>
      </c>
      <c r="D78" s="339" t="s">
        <v>2</v>
      </c>
      <c r="E78" s="340"/>
      <c r="F78" s="340"/>
      <c r="G78" s="340"/>
      <c r="H78" s="341"/>
    </row>
    <row r="79" spans="1:8" ht="13" x14ac:dyDescent="0.35">
      <c r="A79" s="16" t="s">
        <v>56</v>
      </c>
      <c r="B79" s="225" t="str">
        <f>IF('STEP 2-WQv Calculation'!$B$4="","",'STEP 2-WQv Calculation'!$B$4)</f>
        <v/>
      </c>
    </row>
    <row r="80" spans="1:8" ht="15" customHeight="1" x14ac:dyDescent="0.35">
      <c r="A80" s="236" t="s">
        <v>293</v>
      </c>
      <c r="B80" s="237"/>
      <c r="C80" s="237"/>
      <c r="D80" s="237"/>
      <c r="E80" s="237"/>
      <c r="F80" s="237"/>
      <c r="G80" s="237"/>
      <c r="H80" s="238"/>
    </row>
    <row r="81" spans="1:9" ht="39" customHeight="1" x14ac:dyDescent="0.35">
      <c r="A81" s="204" t="s">
        <v>60</v>
      </c>
      <c r="B81" s="205" t="s">
        <v>61</v>
      </c>
      <c r="C81" s="205" t="s">
        <v>62</v>
      </c>
      <c r="D81" s="205" t="s">
        <v>63</v>
      </c>
      <c r="E81" s="205" t="s">
        <v>64</v>
      </c>
      <c r="F81" s="205" t="s">
        <v>65</v>
      </c>
      <c r="G81" s="205" t="s">
        <v>244</v>
      </c>
      <c r="H81" s="206" t="s">
        <v>13</v>
      </c>
    </row>
    <row r="82" spans="1:9" x14ac:dyDescent="0.35">
      <c r="A82" s="218"/>
      <c r="B82" s="3" t="str">
        <f>IF($A82="","",(LOOKUP($A82,'STEP 2-WQv Calculation'!$A$8:$A$37,'STEP 2-WQv Calculation'!$B$8:$B$37)))</f>
        <v/>
      </c>
      <c r="C82" s="3" t="str">
        <f>IF($A82="","",(LOOKUP($A82,'STEP 2-WQv Calculation'!$A$8:$A$37,'STEP 2-WQv Calculation'!$C$8:$C$37)))</f>
        <v/>
      </c>
      <c r="D82" s="212" t="str">
        <f>IF($A82="","",(LOOKUP($A82,'STEP 2-WQv Calculation'!$A$8:$A$37,'STEP 2-WQv Calculation'!$D$8:$D$37)))</f>
        <v/>
      </c>
      <c r="E82" s="3" t="str">
        <f>IF($A82="","",(LOOKUP($A82,'STEP 2-WQv Calculation'!$A$8:$A$37,'STEP 2-WQv Calculation'!$E$8:$E$37)))</f>
        <v/>
      </c>
      <c r="F82" s="217" t="str">
        <f>IF($A82="","",(LOOKUP($A82,'STEP 2-WQv Calculation'!$A$8:$A$37,'STEP 2-WQv Calculation'!$F$8:$F$37)))</f>
        <v/>
      </c>
      <c r="G82" s="22">
        <f>'STEP 2-WQv Calculation'!B5</f>
        <v>0</v>
      </c>
      <c r="H82" s="198" t="str">
        <f>IF($A82="","",(LOOKUP($A82,'STEP 2-WQv Calculation'!$A$8:$A$37,'STEP 2-WQv Calculation'!$G$8:$G$37)))</f>
        <v/>
      </c>
    </row>
    <row r="83" spans="1:9" ht="15" customHeight="1" x14ac:dyDescent="0.35">
      <c r="A83" s="409" t="s">
        <v>226</v>
      </c>
      <c r="B83" s="410"/>
      <c r="C83" s="410"/>
      <c r="D83" s="410"/>
      <c r="E83" s="410"/>
      <c r="F83" s="410"/>
      <c r="G83" s="410"/>
      <c r="H83" s="411"/>
    </row>
    <row r="84" spans="1:9" ht="28.9" customHeight="1" x14ac:dyDescent="0.35">
      <c r="A84" s="242" t="s">
        <v>295</v>
      </c>
      <c r="B84" s="243"/>
      <c r="C84" s="244"/>
      <c r="D84" s="44"/>
      <c r="E84" s="322" t="str">
        <f>IF(D84="","",IF(D84&lt;0.5,"Does not meet design criteria",""))</f>
        <v/>
      </c>
      <c r="F84" s="323"/>
      <c r="G84" s="323"/>
      <c r="H84" s="324"/>
    </row>
    <row r="85" spans="1:9" ht="28.9" customHeight="1" x14ac:dyDescent="0.35">
      <c r="A85" s="242" t="s">
        <v>717</v>
      </c>
      <c r="B85" s="243"/>
      <c r="C85" s="244"/>
      <c r="D85" s="211"/>
      <c r="E85" s="322" t="str">
        <f>IF(D85="Yes","Two treatment practices in series required. Refer to Section 6.3.1","")</f>
        <v/>
      </c>
      <c r="F85" s="323"/>
      <c r="G85" s="323"/>
      <c r="H85" s="324"/>
    </row>
    <row r="86" spans="1:9" s="1" customFormat="1" ht="26.5" customHeight="1" x14ac:dyDescent="0.35">
      <c r="A86" s="242" t="s">
        <v>718</v>
      </c>
      <c r="B86" s="243"/>
      <c r="C86" s="244"/>
      <c r="D86" s="211"/>
      <c r="E86" s="322" t="str">
        <f>IF(D86="","See Section 4.14 of the Design Manual",IF(D86="Yes","Does not meet design criteria",""))</f>
        <v>See Section 4.14 of the Design Manual</v>
      </c>
      <c r="F86" s="323"/>
      <c r="G86" s="323"/>
      <c r="H86" s="324"/>
      <c r="I86" s="4"/>
    </row>
    <row r="87" spans="1:9" ht="15" customHeight="1" x14ac:dyDescent="0.35">
      <c r="A87" s="242" t="s">
        <v>506</v>
      </c>
      <c r="B87" s="243"/>
      <c r="C87" s="244"/>
      <c r="D87" s="135" t="str">
        <f>IF(B82="","",IF(B82&gt;5,"Yes","No"))</f>
        <v/>
      </c>
      <c r="E87" s="322" t="str">
        <f>IF(D87="Yes","Does not meet design criteria","")</f>
        <v/>
      </c>
      <c r="F87" s="323"/>
      <c r="G87" s="323"/>
      <c r="H87" s="324"/>
    </row>
    <row r="88" spans="1:9" ht="33" customHeight="1" x14ac:dyDescent="0.35">
      <c r="A88" s="242" t="s">
        <v>703</v>
      </c>
      <c r="B88" s="406"/>
      <c r="C88" s="407"/>
      <c r="D88" s="43"/>
      <c r="E88" s="322"/>
      <c r="F88" s="406"/>
      <c r="G88" s="406"/>
      <c r="H88" s="407"/>
    </row>
    <row r="89" spans="1:9" ht="15" customHeight="1" x14ac:dyDescent="0.35">
      <c r="A89" s="242" t="s">
        <v>296</v>
      </c>
      <c r="B89" s="243"/>
      <c r="C89" s="244"/>
      <c r="D89" s="43"/>
      <c r="E89" s="322" t="str">
        <f>IF(OR(AND(D88="Yes",D89&lt;4),AND(D88="No",D89&lt;2)),"Does not meet design criteria","")</f>
        <v/>
      </c>
      <c r="F89" s="323"/>
      <c r="G89" s="323"/>
      <c r="H89" s="324"/>
    </row>
    <row r="90" spans="1:9" ht="15" customHeight="1" x14ac:dyDescent="0.35">
      <c r="A90" s="242" t="s">
        <v>297</v>
      </c>
      <c r="B90" s="243"/>
      <c r="C90" s="244"/>
      <c r="D90" s="43"/>
      <c r="E90" s="322" t="str">
        <f>IF(D90="","",IF(D90&lt;2,"Does not meet design criteria",""))</f>
        <v/>
      </c>
      <c r="F90" s="323"/>
      <c r="G90" s="323"/>
      <c r="H90" s="324"/>
    </row>
    <row r="91" spans="1:9" ht="15" customHeight="1" x14ac:dyDescent="0.35">
      <c r="A91" s="242" t="s">
        <v>507</v>
      </c>
      <c r="B91" s="243"/>
      <c r="C91" s="244"/>
      <c r="D91" s="43"/>
      <c r="E91" s="322" t="str">
        <f>IF(D91="","",IF(AND(D84&lt;=10,D91&lt;(F82*0.25)),"Does not meet design criteria",IF(AND(D84&gt;10,D91&lt;(F82*0.5)),"Does not meet design criteria","")))</f>
        <v/>
      </c>
      <c r="F91" s="323"/>
      <c r="G91" s="323"/>
      <c r="H91" s="324"/>
    </row>
    <row r="92" spans="1:9" ht="12.75" customHeight="1" x14ac:dyDescent="0.35">
      <c r="A92" s="242" t="s">
        <v>508</v>
      </c>
      <c r="B92" s="243"/>
      <c r="C92" s="244"/>
      <c r="D92" s="43"/>
      <c r="E92" s="322" t="str">
        <f>IF(D92="","",IF(D92&lt;4,"Does not meet design criteria",""))</f>
        <v/>
      </c>
      <c r="F92" s="323"/>
      <c r="G92" s="323"/>
      <c r="H92" s="324"/>
    </row>
    <row r="93" spans="1:9" ht="15" customHeight="1" x14ac:dyDescent="0.35">
      <c r="A93" s="242" t="s">
        <v>509</v>
      </c>
      <c r="B93" s="243"/>
      <c r="C93" s="244"/>
      <c r="D93" s="43"/>
      <c r="E93" s="322" t="str">
        <f>IF(D93&gt;4,"Does not meet design criteia","")</f>
        <v/>
      </c>
      <c r="F93" s="323"/>
      <c r="G93" s="323"/>
      <c r="H93" s="324"/>
    </row>
    <row r="94" spans="1:9" ht="15" customHeight="1" x14ac:dyDescent="0.35">
      <c r="A94" s="242" t="s">
        <v>510</v>
      </c>
      <c r="B94" s="243"/>
      <c r="C94" s="244"/>
      <c r="D94" s="211"/>
      <c r="E94" s="322" t="str">
        <f>IF(D94="No","Does not meet design criteria","")</f>
        <v/>
      </c>
      <c r="F94" s="323"/>
      <c r="G94" s="323"/>
      <c r="H94" s="324"/>
    </row>
    <row r="95" spans="1:9" ht="15" customHeight="1" x14ac:dyDescent="0.35">
      <c r="A95" s="242" t="s">
        <v>704</v>
      </c>
      <c r="B95" s="406"/>
      <c r="C95" s="407"/>
      <c r="D95" s="43"/>
      <c r="E95" s="322" t="str">
        <f>IF(D95&lt;=15,"","A slope stability analysis is required.")</f>
        <v/>
      </c>
      <c r="F95" s="406"/>
      <c r="G95" s="406"/>
      <c r="H95" s="407"/>
    </row>
    <row r="96" spans="1:9" ht="13.15" customHeight="1" x14ac:dyDescent="0.35">
      <c r="A96" s="409" t="s">
        <v>232</v>
      </c>
      <c r="B96" s="410"/>
      <c r="C96" s="410"/>
      <c r="D96" s="410"/>
      <c r="E96" s="410"/>
      <c r="F96" s="410"/>
      <c r="G96" s="410"/>
      <c r="H96" s="411"/>
    </row>
    <row r="97" spans="1:9" x14ac:dyDescent="0.35">
      <c r="A97" s="378"/>
      <c r="B97" s="379"/>
      <c r="C97" s="380"/>
      <c r="D97" s="222" t="s">
        <v>256</v>
      </c>
      <c r="E97" s="208" t="s">
        <v>257</v>
      </c>
      <c r="F97" s="375" t="s">
        <v>258</v>
      </c>
      <c r="G97" s="376"/>
      <c r="H97" s="377"/>
    </row>
    <row r="98" spans="1:9" ht="13.15" customHeight="1" x14ac:dyDescent="0.35">
      <c r="A98" s="289" t="s">
        <v>302</v>
      </c>
      <c r="B98" s="289"/>
      <c r="C98" s="198" t="s">
        <v>303</v>
      </c>
      <c r="D98" s="212" t="str">
        <f>F82</f>
        <v/>
      </c>
      <c r="E98" s="193" t="s">
        <v>2</v>
      </c>
      <c r="F98" s="344"/>
      <c r="G98" s="344"/>
      <c r="H98" s="344"/>
    </row>
    <row r="99" spans="1:9" x14ac:dyDescent="0.35">
      <c r="A99" s="289" t="s">
        <v>405</v>
      </c>
      <c r="B99" s="289"/>
      <c r="C99" s="198" t="s">
        <v>268</v>
      </c>
      <c r="D99" s="3">
        <v>0.4</v>
      </c>
      <c r="E99" s="193"/>
      <c r="F99" s="322"/>
      <c r="G99" s="323"/>
      <c r="H99" s="324"/>
    </row>
    <row r="100" spans="1:9" ht="13.15" customHeight="1" x14ac:dyDescent="0.35">
      <c r="A100" s="289" t="s">
        <v>511</v>
      </c>
      <c r="B100" s="289"/>
      <c r="C100" s="198" t="s">
        <v>512</v>
      </c>
      <c r="D100" s="153">
        <f>D93</f>
        <v>0</v>
      </c>
      <c r="E100" s="193" t="s">
        <v>271</v>
      </c>
      <c r="F100" s="344" t="str">
        <f>IF(D100&gt;4,"Does not meet design criteia","")</f>
        <v/>
      </c>
      <c r="G100" s="344"/>
      <c r="H100" s="344"/>
    </row>
    <row r="101" spans="1:9" ht="15" customHeight="1" x14ac:dyDescent="0.35">
      <c r="A101" s="334" t="s">
        <v>513</v>
      </c>
      <c r="B101" s="334"/>
      <c r="C101" s="217" t="s">
        <v>514</v>
      </c>
      <c r="D101" s="22" t="e">
        <f>ROUNDUP(D98/(D99*D100),0)</f>
        <v>#VALUE!</v>
      </c>
      <c r="E101" s="144" t="s">
        <v>316</v>
      </c>
      <c r="F101" s="387"/>
      <c r="G101" s="388"/>
      <c r="H101" s="389"/>
    </row>
    <row r="102" spans="1:9" ht="30.25" customHeight="1" x14ac:dyDescent="0.35">
      <c r="A102" s="334" t="s">
        <v>515</v>
      </c>
      <c r="B102" s="334"/>
      <c r="C102" s="217" t="s">
        <v>514</v>
      </c>
      <c r="D102" s="218"/>
      <c r="E102" s="144" t="s">
        <v>316</v>
      </c>
      <c r="F102" s="387" t="str">
        <f>IF(D102="","",IF(D102&lt;D101,"Does not meet design critiera",""))</f>
        <v/>
      </c>
      <c r="G102" s="388"/>
      <c r="H102" s="389"/>
    </row>
    <row r="103" spans="1:9" ht="13.15" customHeight="1" x14ac:dyDescent="0.35">
      <c r="A103" s="412" t="s">
        <v>372</v>
      </c>
      <c r="B103" s="412"/>
      <c r="C103" s="412"/>
      <c r="D103" s="412"/>
      <c r="E103" s="412"/>
      <c r="F103" s="412"/>
      <c r="G103" s="412"/>
      <c r="H103" s="412"/>
    </row>
    <row r="104" spans="1:9" ht="15" customHeight="1" x14ac:dyDescent="0.35">
      <c r="A104" s="335" t="s">
        <v>241</v>
      </c>
      <c r="B104" s="335"/>
      <c r="C104" s="9" t="str">
        <f>IF(A82="","",IF(D86="Yes",0,IF(D84&lt;0.5,0,IF(D87="Yes",0,IF(D89&lt;2,0,IF(D90&lt;2,0,IF(AND(D84&lt;=10,D91&lt;(F82*0.25)),0,IF(AND(D84&gt;10,D91&lt;(F82*0.5)),0,IF(D92&lt;4,0,IF(D93&gt;4,0,IF(D94="No",0,IF(D102&lt;D101,0,IF(AND(D88="Yes",D89&lt;4),0,F82*1)))))))))))))</f>
        <v/>
      </c>
      <c r="D104" s="339" t="s">
        <v>2</v>
      </c>
      <c r="E104" s="340"/>
      <c r="F104" s="340"/>
      <c r="G104" s="340"/>
      <c r="H104" s="341"/>
    </row>
    <row r="105" spans="1:9" ht="13" x14ac:dyDescent="0.35">
      <c r="A105" s="16" t="s">
        <v>56</v>
      </c>
      <c r="B105" s="225" t="str">
        <f>IF('STEP 2-WQv Calculation'!$B$4="","",'STEP 2-WQv Calculation'!$B$4)</f>
        <v/>
      </c>
    </row>
    <row r="106" spans="1:9" ht="15" customHeight="1" x14ac:dyDescent="0.35">
      <c r="A106" s="236" t="s">
        <v>293</v>
      </c>
      <c r="B106" s="237"/>
      <c r="C106" s="237"/>
      <c r="D106" s="237"/>
      <c r="E106" s="237"/>
      <c r="F106" s="237"/>
      <c r="G106" s="237"/>
      <c r="H106" s="238"/>
    </row>
    <row r="107" spans="1:9" ht="39" customHeight="1" x14ac:dyDescent="0.35">
      <c r="A107" s="204" t="s">
        <v>60</v>
      </c>
      <c r="B107" s="205" t="s">
        <v>61</v>
      </c>
      <c r="C107" s="205" t="s">
        <v>62</v>
      </c>
      <c r="D107" s="205" t="s">
        <v>63</v>
      </c>
      <c r="E107" s="205" t="s">
        <v>64</v>
      </c>
      <c r="F107" s="205" t="s">
        <v>65</v>
      </c>
      <c r="G107" s="205" t="s">
        <v>244</v>
      </c>
      <c r="H107" s="206" t="s">
        <v>13</v>
      </c>
    </row>
    <row r="108" spans="1:9" x14ac:dyDescent="0.35">
      <c r="A108" s="218"/>
      <c r="B108" s="3" t="str">
        <f>IF($A108="","",(LOOKUP($A108,'STEP 2-WQv Calculation'!$A$8:$A$37,'STEP 2-WQv Calculation'!$B$8:$B$37)))</f>
        <v/>
      </c>
      <c r="C108" s="3" t="str">
        <f>IF($A108="","",(LOOKUP($A108,'STEP 2-WQv Calculation'!$A$8:$A$37,'STEP 2-WQv Calculation'!$C$8:$C$37)))</f>
        <v/>
      </c>
      <c r="D108" s="212" t="str">
        <f>IF($A108="","",(LOOKUP($A108,'STEP 2-WQv Calculation'!$A$8:$A$37,'STEP 2-WQv Calculation'!$D$8:$D$37)))</f>
        <v/>
      </c>
      <c r="E108" s="3" t="str">
        <f>IF($A108="","",(LOOKUP($A108,'STEP 2-WQv Calculation'!$A$8:$A$37,'STEP 2-WQv Calculation'!$E$8:$E$37)))</f>
        <v/>
      </c>
      <c r="F108" s="217" t="str">
        <f>IF($A108="","",(LOOKUP($A108,'STEP 2-WQv Calculation'!$A$8:$A$37,'STEP 2-WQv Calculation'!$F$8:$F$37)))</f>
        <v/>
      </c>
      <c r="G108" s="22">
        <f>'STEP 2-WQv Calculation'!B5</f>
        <v>0</v>
      </c>
      <c r="H108" s="198" t="str">
        <f>IF($A108="","",(LOOKUP($A108,'STEP 2-WQv Calculation'!$A$8:$A$37,'STEP 2-WQv Calculation'!$G$8:$G$37)))</f>
        <v/>
      </c>
    </row>
    <row r="109" spans="1:9" ht="13.15" customHeight="1" x14ac:dyDescent="0.35">
      <c r="A109" s="409" t="s">
        <v>226</v>
      </c>
      <c r="B109" s="410"/>
      <c r="C109" s="410"/>
      <c r="D109" s="410"/>
      <c r="E109" s="410"/>
      <c r="F109" s="410"/>
      <c r="G109" s="410"/>
      <c r="H109" s="411"/>
    </row>
    <row r="110" spans="1:9" ht="28.9" customHeight="1" x14ac:dyDescent="0.35">
      <c r="A110" s="242" t="s">
        <v>295</v>
      </c>
      <c r="B110" s="243"/>
      <c r="C110" s="244"/>
      <c r="D110" s="44"/>
      <c r="E110" s="322" t="str">
        <f>IF(D110="","",IF(D110&lt;0.5,"Does not meet design criteria",""))</f>
        <v/>
      </c>
      <c r="F110" s="323"/>
      <c r="G110" s="323"/>
      <c r="H110" s="324"/>
    </row>
    <row r="111" spans="1:9" ht="28.9" customHeight="1" x14ac:dyDescent="0.35">
      <c r="A111" s="242" t="s">
        <v>717</v>
      </c>
      <c r="B111" s="243"/>
      <c r="C111" s="244"/>
      <c r="D111" s="211"/>
      <c r="E111" s="322" t="str">
        <f>IF(D111="Yes","Two treatment practices in series required. Refer to Section 6.3.1","")</f>
        <v/>
      </c>
      <c r="F111" s="323"/>
      <c r="G111" s="323"/>
      <c r="H111" s="324"/>
    </row>
    <row r="112" spans="1:9" s="1" customFormat="1" ht="26.5" customHeight="1" x14ac:dyDescent="0.35">
      <c r="A112" s="242" t="s">
        <v>718</v>
      </c>
      <c r="B112" s="243"/>
      <c r="C112" s="244"/>
      <c r="D112" s="211"/>
      <c r="E112" s="322" t="str">
        <f>IF(D112="","See Section 4.14 of the Design Manual",IF(D112="Yes","Does not meet design criteria",""))</f>
        <v>See Section 4.14 of the Design Manual</v>
      </c>
      <c r="F112" s="323"/>
      <c r="G112" s="323"/>
      <c r="H112" s="324"/>
      <c r="I112" s="4"/>
    </row>
    <row r="113" spans="1:8" ht="12.75" customHeight="1" x14ac:dyDescent="0.35">
      <c r="A113" s="242" t="s">
        <v>506</v>
      </c>
      <c r="B113" s="243"/>
      <c r="C113" s="244"/>
      <c r="D113" s="135" t="str">
        <f>IF(B108="","",IF(B108&gt;5,"Yes","No"))</f>
        <v/>
      </c>
      <c r="E113" s="322" t="str">
        <f>IF(D113="Yes","Does not meet design criteria","")</f>
        <v/>
      </c>
      <c r="F113" s="323"/>
      <c r="G113" s="323"/>
      <c r="H113" s="324"/>
    </row>
    <row r="114" spans="1:8" ht="28.5" customHeight="1" x14ac:dyDescent="0.35">
      <c r="A114" s="242" t="s">
        <v>703</v>
      </c>
      <c r="B114" s="406"/>
      <c r="C114" s="407"/>
      <c r="D114" s="43"/>
      <c r="E114" s="322"/>
      <c r="F114" s="406"/>
      <c r="G114" s="406"/>
      <c r="H114" s="407"/>
    </row>
    <row r="115" spans="1:8" ht="15" customHeight="1" x14ac:dyDescent="0.35">
      <c r="A115" s="242" t="s">
        <v>296</v>
      </c>
      <c r="B115" s="243"/>
      <c r="C115" s="244"/>
      <c r="D115" s="43"/>
      <c r="E115" s="322" t="str">
        <f>IF(OR(AND(D114="Yes",D115&lt;4),AND(D114="No",D115&lt;2)),"Does not meet design criteria","")</f>
        <v/>
      </c>
      <c r="F115" s="323"/>
      <c r="G115" s="323"/>
      <c r="H115" s="324"/>
    </row>
    <row r="116" spans="1:8" ht="15" customHeight="1" x14ac:dyDescent="0.35">
      <c r="A116" s="242" t="s">
        <v>297</v>
      </c>
      <c r="B116" s="243"/>
      <c r="C116" s="244"/>
      <c r="D116" s="43"/>
      <c r="E116" s="322" t="str">
        <f>IF(D116="","",IF(D116&lt;2,"Does not meet design criteria",""))</f>
        <v/>
      </c>
      <c r="F116" s="323"/>
      <c r="G116" s="323"/>
      <c r="H116" s="324"/>
    </row>
    <row r="117" spans="1:8" ht="15" customHeight="1" x14ac:dyDescent="0.35">
      <c r="A117" s="242" t="s">
        <v>507</v>
      </c>
      <c r="B117" s="243"/>
      <c r="C117" s="244"/>
      <c r="D117" s="43"/>
      <c r="E117" s="322" t="str">
        <f>IF(D117="","",IF(AND(D110&lt;=10,D117&lt;(F108*0.25)),"Does not meet design criteria",IF(AND(D110&gt;10,D117&lt;(F108*0.5)),"Does not meet design criteria","")))</f>
        <v/>
      </c>
      <c r="F117" s="323"/>
      <c r="G117" s="323"/>
      <c r="H117" s="324"/>
    </row>
    <row r="118" spans="1:8" ht="15" customHeight="1" x14ac:dyDescent="0.35">
      <c r="A118" s="242" t="s">
        <v>508</v>
      </c>
      <c r="B118" s="243"/>
      <c r="C118" s="244"/>
      <c r="D118" s="43"/>
      <c r="E118" s="322" t="str">
        <f>IF(D118="","",IF(D118&lt;4,"Does not meet design criteria",""))</f>
        <v/>
      </c>
      <c r="F118" s="323"/>
      <c r="G118" s="323"/>
      <c r="H118" s="324"/>
    </row>
    <row r="119" spans="1:8" ht="15" customHeight="1" x14ac:dyDescent="0.35">
      <c r="A119" s="242" t="s">
        <v>509</v>
      </c>
      <c r="B119" s="243"/>
      <c r="C119" s="244"/>
      <c r="D119" s="43"/>
      <c r="E119" s="322" t="str">
        <f>IF(D119&gt;4,"Does not meet design criteia","")</f>
        <v/>
      </c>
      <c r="F119" s="323"/>
      <c r="G119" s="323"/>
      <c r="H119" s="324"/>
    </row>
    <row r="120" spans="1:8" ht="15" customHeight="1" x14ac:dyDescent="0.35">
      <c r="A120" s="242" t="s">
        <v>510</v>
      </c>
      <c r="B120" s="243"/>
      <c r="C120" s="244"/>
      <c r="D120" s="211"/>
      <c r="E120" s="322" t="str">
        <f>IF(D120="No","Does not meet design criteria","")</f>
        <v/>
      </c>
      <c r="F120" s="323"/>
      <c r="G120" s="323"/>
      <c r="H120" s="324"/>
    </row>
    <row r="121" spans="1:8" ht="15" customHeight="1" x14ac:dyDescent="0.35">
      <c r="A121" s="242" t="s">
        <v>704</v>
      </c>
      <c r="B121" s="406"/>
      <c r="C121" s="407"/>
      <c r="D121" s="43"/>
      <c r="E121" s="322" t="str">
        <f>IF(D121&lt;=15,"","A slope stability analysis is required.")</f>
        <v/>
      </c>
      <c r="F121" s="406"/>
      <c r="G121" s="406"/>
      <c r="H121" s="407"/>
    </row>
    <row r="122" spans="1:8" ht="15" customHeight="1" x14ac:dyDescent="0.35">
      <c r="A122" s="409" t="s">
        <v>232</v>
      </c>
      <c r="B122" s="410"/>
      <c r="C122" s="410"/>
      <c r="D122" s="410"/>
      <c r="E122" s="410"/>
      <c r="F122" s="410"/>
      <c r="G122" s="410"/>
      <c r="H122" s="411"/>
    </row>
    <row r="123" spans="1:8" ht="15" customHeight="1" x14ac:dyDescent="0.35">
      <c r="A123" s="378"/>
      <c r="B123" s="379"/>
      <c r="C123" s="380"/>
      <c r="D123" s="222" t="s">
        <v>256</v>
      </c>
      <c r="E123" s="208" t="s">
        <v>257</v>
      </c>
      <c r="F123" s="375" t="s">
        <v>258</v>
      </c>
      <c r="G123" s="376"/>
      <c r="H123" s="377"/>
    </row>
    <row r="124" spans="1:8" ht="15" customHeight="1" x14ac:dyDescent="0.35">
      <c r="A124" s="289" t="s">
        <v>302</v>
      </c>
      <c r="B124" s="289"/>
      <c r="C124" s="198" t="s">
        <v>303</v>
      </c>
      <c r="D124" s="212" t="str">
        <f>F108</f>
        <v/>
      </c>
      <c r="E124" s="193" t="s">
        <v>2</v>
      </c>
      <c r="F124" s="344"/>
      <c r="G124" s="344"/>
      <c r="H124" s="344"/>
    </row>
    <row r="125" spans="1:8" ht="15" customHeight="1" x14ac:dyDescent="0.35">
      <c r="A125" s="289" t="s">
        <v>405</v>
      </c>
      <c r="B125" s="289"/>
      <c r="C125" s="198" t="s">
        <v>268</v>
      </c>
      <c r="D125" s="3">
        <v>0.4</v>
      </c>
      <c r="E125" s="193"/>
      <c r="F125" s="322"/>
      <c r="G125" s="323"/>
      <c r="H125" s="324"/>
    </row>
    <row r="126" spans="1:8" ht="30.25" customHeight="1" x14ac:dyDescent="0.35">
      <c r="A126" s="289" t="s">
        <v>511</v>
      </c>
      <c r="B126" s="289"/>
      <c r="C126" s="198" t="s">
        <v>512</v>
      </c>
      <c r="D126" s="153">
        <f>D119</f>
        <v>0</v>
      </c>
      <c r="E126" s="193" t="s">
        <v>271</v>
      </c>
      <c r="F126" s="344" t="str">
        <f>IF(D126&gt;4,"Does not meet design criteia","")</f>
        <v/>
      </c>
      <c r="G126" s="344"/>
      <c r="H126" s="344"/>
    </row>
    <row r="127" spans="1:8" ht="15" customHeight="1" x14ac:dyDescent="0.35">
      <c r="A127" s="334" t="s">
        <v>513</v>
      </c>
      <c r="B127" s="334"/>
      <c r="C127" s="217" t="s">
        <v>514</v>
      </c>
      <c r="D127" s="22" t="e">
        <f>ROUNDUP(D124/(D125*D126),0)</f>
        <v>#VALUE!</v>
      </c>
      <c r="E127" s="144" t="s">
        <v>316</v>
      </c>
      <c r="F127" s="387"/>
      <c r="G127" s="388"/>
      <c r="H127" s="389"/>
    </row>
    <row r="128" spans="1:8" ht="15" customHeight="1" x14ac:dyDescent="0.35">
      <c r="A128" s="334" t="s">
        <v>515</v>
      </c>
      <c r="B128" s="334"/>
      <c r="C128" s="217" t="s">
        <v>514</v>
      </c>
      <c r="D128" s="218"/>
      <c r="E128" s="144" t="s">
        <v>316</v>
      </c>
      <c r="F128" s="387" t="str">
        <f>IF(D128="","",IF(D128&lt;D127,"Does not meet design critiera",""))</f>
        <v/>
      </c>
      <c r="G128" s="388"/>
      <c r="H128" s="389"/>
    </row>
    <row r="129" spans="1:8" ht="13.15" customHeight="1" x14ac:dyDescent="0.35">
      <c r="A129" s="412" t="s">
        <v>372</v>
      </c>
      <c r="B129" s="412"/>
      <c r="C129" s="412"/>
      <c r="D129" s="412"/>
      <c r="E129" s="412"/>
      <c r="F129" s="412"/>
      <c r="G129" s="412"/>
      <c r="H129" s="412"/>
    </row>
    <row r="130" spans="1:8" ht="15" customHeight="1" x14ac:dyDescent="0.35">
      <c r="A130" s="335" t="s">
        <v>241</v>
      </c>
      <c r="B130" s="335"/>
      <c r="C130" s="9" t="str">
        <f>IF(A108="","",IF(D112="Yes",0,IF(D110&lt;0.5,0,IF(D113="Yes",0,IF(D115&lt;2,0,IF(D116&lt;2,0,IF(AND(D110&lt;=10,D117&lt;(F108*0.25)),0,IF(AND(D110&gt;10,D117&lt;(F108*0.5)),0,IF(D118&lt;4,0,IF(D119&gt;4,0,IF(D120="No",0,IF(D128&lt;D127,0,IF(AND(D114="Yes",D115&lt;4),0,F108*1)))))))))))))</f>
        <v/>
      </c>
      <c r="D130" s="339" t="s">
        <v>2</v>
      </c>
      <c r="E130" s="340"/>
      <c r="F130" s="340"/>
      <c r="G130" s="340"/>
      <c r="H130" s="341"/>
    </row>
    <row r="131" spans="1:8" ht="13" x14ac:dyDescent="0.35">
      <c r="A131" s="16" t="s">
        <v>56</v>
      </c>
      <c r="B131" s="225" t="str">
        <f>IF('STEP 2-WQv Calculation'!$B$4="","",'STEP 2-WQv Calculation'!$B$4)</f>
        <v/>
      </c>
    </row>
    <row r="132" spans="1:8" ht="13" x14ac:dyDescent="0.35">
      <c r="A132" s="236" t="s">
        <v>293</v>
      </c>
      <c r="B132" s="237"/>
      <c r="C132" s="237"/>
      <c r="D132" s="237"/>
      <c r="E132" s="237"/>
      <c r="F132" s="237"/>
      <c r="G132" s="237"/>
      <c r="H132" s="238"/>
    </row>
    <row r="133" spans="1:8" ht="38.5" x14ac:dyDescent="0.35">
      <c r="A133" s="204" t="s">
        <v>60</v>
      </c>
      <c r="B133" s="205" t="s">
        <v>61</v>
      </c>
      <c r="C133" s="205" t="s">
        <v>62</v>
      </c>
      <c r="D133" s="205" t="s">
        <v>63</v>
      </c>
      <c r="E133" s="205" t="s">
        <v>64</v>
      </c>
      <c r="F133" s="205" t="s">
        <v>65</v>
      </c>
      <c r="G133" s="205" t="s">
        <v>244</v>
      </c>
      <c r="H133" s="206" t="s">
        <v>13</v>
      </c>
    </row>
    <row r="134" spans="1:8" x14ac:dyDescent="0.35">
      <c r="A134" s="218"/>
      <c r="B134" s="3" t="str">
        <f>IF($A134="","",(LOOKUP($A134,'STEP 2-WQv Calculation'!$A$8:$A$37,'STEP 2-WQv Calculation'!$B$8:$B$37)))</f>
        <v/>
      </c>
      <c r="C134" s="3" t="str">
        <f>IF($A134="","",(LOOKUP($A134,'STEP 2-WQv Calculation'!$A$8:$A$37,'STEP 2-WQv Calculation'!$C$8:$C$37)))</f>
        <v/>
      </c>
      <c r="D134" s="212" t="str">
        <f>IF($A134="","",(LOOKUP($A134,'STEP 2-WQv Calculation'!$A$8:$A$37,'STEP 2-WQv Calculation'!$D$8:$D$37)))</f>
        <v/>
      </c>
      <c r="E134" s="3" t="str">
        <f>IF($A134="","",(LOOKUP($A134,'STEP 2-WQv Calculation'!$A$8:$A$37,'STEP 2-WQv Calculation'!$E$8:$E$37)))</f>
        <v/>
      </c>
      <c r="F134" s="217" t="str">
        <f>IF($A134="","",(LOOKUP($A134,'STEP 2-WQv Calculation'!$A$8:$A$37,'STEP 2-WQv Calculation'!$F$8:$F$37)))</f>
        <v/>
      </c>
      <c r="G134" s="22">
        <f>'STEP 2-WQv Calculation'!B31</f>
        <v>0</v>
      </c>
      <c r="H134" s="198" t="str">
        <f>IF($A134="","",(LOOKUP($A134,'STEP 2-WQv Calculation'!$A$8:$A$37,'STEP 2-WQv Calculation'!$G$8:$G$37)))</f>
        <v/>
      </c>
    </row>
    <row r="135" spans="1:8" ht="13" x14ac:dyDescent="0.35">
      <c r="A135" s="409" t="s">
        <v>226</v>
      </c>
      <c r="B135" s="410"/>
      <c r="C135" s="410"/>
      <c r="D135" s="410"/>
      <c r="E135" s="410"/>
      <c r="F135" s="410"/>
      <c r="G135" s="410"/>
      <c r="H135" s="411"/>
    </row>
    <row r="136" spans="1:8" x14ac:dyDescent="0.35">
      <c r="A136" s="242" t="s">
        <v>295</v>
      </c>
      <c r="B136" s="243"/>
      <c r="C136" s="244"/>
      <c r="D136" s="44"/>
      <c r="E136" s="322" t="str">
        <f>IF(D136="","",IF(D136&lt;0.5,"Does not meet design criteria",""))</f>
        <v/>
      </c>
      <c r="F136" s="323"/>
      <c r="G136" s="323"/>
      <c r="H136" s="324"/>
    </row>
    <row r="137" spans="1:8" x14ac:dyDescent="0.35">
      <c r="A137" s="242" t="s">
        <v>717</v>
      </c>
      <c r="B137" s="243"/>
      <c r="C137" s="244"/>
      <c r="D137" s="211"/>
      <c r="E137" s="322" t="str">
        <f>IF(D137="Yes","Two treatment practices in series required. Refer to Section 6.3.1","")</f>
        <v/>
      </c>
      <c r="F137" s="323"/>
      <c r="G137" s="323"/>
      <c r="H137" s="324"/>
    </row>
    <row r="138" spans="1:8" x14ac:dyDescent="0.35">
      <c r="A138" s="242" t="s">
        <v>718</v>
      </c>
      <c r="B138" s="243"/>
      <c r="C138" s="244"/>
      <c r="D138" s="211"/>
      <c r="E138" s="322" t="str">
        <f>IF(D138="","See Section 4.14 of the Design Manual",IF(D138="Yes","Does not meet design criteria",""))</f>
        <v>See Section 4.14 of the Design Manual</v>
      </c>
      <c r="F138" s="323"/>
      <c r="G138" s="323"/>
      <c r="H138" s="324"/>
    </row>
    <row r="139" spans="1:8" ht="15" customHeight="1" x14ac:dyDescent="0.35">
      <c r="A139" s="242" t="s">
        <v>506</v>
      </c>
      <c r="B139" s="243"/>
      <c r="C139" s="244"/>
      <c r="D139" s="135" t="str">
        <f>IF(B134="","",IF(B134&gt;5,"Yes","No"))</f>
        <v/>
      </c>
      <c r="E139" s="322" t="str">
        <f>IF(D139="Yes","Does not meet design criteria","")</f>
        <v/>
      </c>
      <c r="F139" s="323"/>
      <c r="G139" s="323"/>
      <c r="H139" s="324"/>
    </row>
    <row r="140" spans="1:8" ht="15" customHeight="1" x14ac:dyDescent="0.35">
      <c r="A140" s="242" t="s">
        <v>703</v>
      </c>
      <c r="B140" s="406"/>
      <c r="C140" s="407"/>
      <c r="D140" s="43"/>
      <c r="E140" s="322"/>
      <c r="F140" s="406"/>
      <c r="G140" s="406"/>
      <c r="H140" s="407"/>
    </row>
    <row r="141" spans="1:8" ht="15" customHeight="1" x14ac:dyDescent="0.35">
      <c r="A141" s="242" t="s">
        <v>296</v>
      </c>
      <c r="B141" s="243"/>
      <c r="C141" s="244"/>
      <c r="D141" s="43"/>
      <c r="E141" s="322" t="str">
        <f>IF(OR(AND(D140="Yes",D141&lt;4),AND(D140="No",D141&lt;2)),"Does not meet design criteria","")</f>
        <v/>
      </c>
      <c r="F141" s="323"/>
      <c r="G141" s="323"/>
      <c r="H141" s="324"/>
    </row>
    <row r="142" spans="1:8" ht="15" customHeight="1" x14ac:dyDescent="0.35">
      <c r="A142" s="242" t="s">
        <v>297</v>
      </c>
      <c r="B142" s="243"/>
      <c r="C142" s="244"/>
      <c r="D142" s="43"/>
      <c r="E142" s="322" t="str">
        <f>IF(D142="","",IF(D142&lt;2,"Does not meet design criteria",""))</f>
        <v/>
      </c>
      <c r="F142" s="323"/>
      <c r="G142" s="323"/>
      <c r="H142" s="324"/>
    </row>
    <row r="143" spans="1:8" ht="15" customHeight="1" x14ac:dyDescent="0.35">
      <c r="A143" s="242" t="s">
        <v>507</v>
      </c>
      <c r="B143" s="243"/>
      <c r="C143" s="244"/>
      <c r="D143" s="43"/>
      <c r="E143" s="322" t="str">
        <f>IF(D143="","",IF(AND(D136&lt;=10,D143&lt;(F134*0.25)),"Does not meet design criteria",IF(AND(D136&gt;10,D143&lt;(F134*0.5)),"Does not meet design criteria","")))</f>
        <v/>
      </c>
      <c r="F143" s="323"/>
      <c r="G143" s="323"/>
      <c r="H143" s="324"/>
    </row>
    <row r="144" spans="1:8" x14ac:dyDescent="0.35">
      <c r="A144" s="242" t="s">
        <v>508</v>
      </c>
      <c r="B144" s="243"/>
      <c r="C144" s="244"/>
      <c r="D144" s="43"/>
      <c r="E144" s="322" t="str">
        <f>IF(D144="","",IF(D144&lt;4,"Does not meet design criteria",""))</f>
        <v/>
      </c>
      <c r="F144" s="323"/>
      <c r="G144" s="323"/>
      <c r="H144" s="324"/>
    </row>
    <row r="145" spans="1:8" x14ac:dyDescent="0.35">
      <c r="A145" s="242" t="s">
        <v>509</v>
      </c>
      <c r="B145" s="243"/>
      <c r="C145" s="244"/>
      <c r="D145" s="43"/>
      <c r="E145" s="322" t="str">
        <f>IF(D145&gt;4,"Does not meet design criteia","")</f>
        <v/>
      </c>
      <c r="F145" s="323"/>
      <c r="G145" s="323"/>
      <c r="H145" s="324"/>
    </row>
    <row r="146" spans="1:8" x14ac:dyDescent="0.35">
      <c r="A146" s="242" t="s">
        <v>510</v>
      </c>
      <c r="B146" s="243"/>
      <c r="C146" s="244"/>
      <c r="D146" s="211"/>
      <c r="E146" s="322" t="str">
        <f>IF(D146="No","Does not meet design criteria","")</f>
        <v/>
      </c>
      <c r="F146" s="323"/>
      <c r="G146" s="323"/>
      <c r="H146" s="324"/>
    </row>
    <row r="147" spans="1:8" ht="14.5" x14ac:dyDescent="0.35">
      <c r="A147" s="242" t="s">
        <v>704</v>
      </c>
      <c r="B147" s="406"/>
      <c r="C147" s="407"/>
      <c r="D147" s="43"/>
      <c r="E147" s="322" t="str">
        <f>IF(D147&lt;=15,"","A slope stability analysis is required.")</f>
        <v/>
      </c>
      <c r="F147" s="406"/>
      <c r="G147" s="406"/>
      <c r="H147" s="407"/>
    </row>
    <row r="148" spans="1:8" ht="13" x14ac:dyDescent="0.35">
      <c r="A148" s="409" t="s">
        <v>232</v>
      </c>
      <c r="B148" s="410"/>
      <c r="C148" s="410"/>
      <c r="D148" s="410"/>
      <c r="E148" s="410"/>
      <c r="F148" s="410"/>
      <c r="G148" s="410"/>
      <c r="H148" s="411"/>
    </row>
    <row r="149" spans="1:8" x14ac:dyDescent="0.35">
      <c r="A149" s="378"/>
      <c r="B149" s="379"/>
      <c r="C149" s="380"/>
      <c r="D149" s="222" t="s">
        <v>256</v>
      </c>
      <c r="E149" s="208" t="s">
        <v>257</v>
      </c>
      <c r="F149" s="375" t="s">
        <v>258</v>
      </c>
      <c r="G149" s="376"/>
      <c r="H149" s="377"/>
    </row>
    <row r="150" spans="1:8" x14ac:dyDescent="0.35">
      <c r="A150" s="289" t="s">
        <v>302</v>
      </c>
      <c r="B150" s="289"/>
      <c r="C150" s="198" t="s">
        <v>303</v>
      </c>
      <c r="D150" s="212" t="str">
        <f>F134</f>
        <v/>
      </c>
      <c r="E150" s="193" t="s">
        <v>2</v>
      </c>
      <c r="F150" s="344"/>
      <c r="G150" s="344"/>
      <c r="H150" s="344"/>
    </row>
    <row r="151" spans="1:8" x14ac:dyDescent="0.35">
      <c r="A151" s="289" t="s">
        <v>405</v>
      </c>
      <c r="B151" s="289"/>
      <c r="C151" s="198" t="s">
        <v>268</v>
      </c>
      <c r="D151" s="3">
        <v>0.4</v>
      </c>
      <c r="E151" s="193"/>
      <c r="F151" s="322"/>
      <c r="G151" s="323"/>
      <c r="H151" s="324"/>
    </row>
    <row r="152" spans="1:8" x14ac:dyDescent="0.35">
      <c r="A152" s="289" t="s">
        <v>511</v>
      </c>
      <c r="B152" s="289"/>
      <c r="C152" s="198" t="s">
        <v>512</v>
      </c>
      <c r="D152" s="153">
        <f>D145</f>
        <v>0</v>
      </c>
      <c r="E152" s="193" t="s">
        <v>271</v>
      </c>
      <c r="F152" s="344" t="str">
        <f>IF(D152&gt;4,"Does not meet design criteia","")</f>
        <v/>
      </c>
      <c r="G152" s="344"/>
      <c r="H152" s="344"/>
    </row>
    <row r="153" spans="1:8" x14ac:dyDescent="0.35">
      <c r="A153" s="334" t="s">
        <v>513</v>
      </c>
      <c r="B153" s="334"/>
      <c r="C153" s="217" t="s">
        <v>514</v>
      </c>
      <c r="D153" s="22" t="e">
        <f>ROUNDUP(D150/(D151*D152),0)</f>
        <v>#VALUE!</v>
      </c>
      <c r="E153" s="144" t="s">
        <v>316</v>
      </c>
      <c r="F153" s="387"/>
      <c r="G153" s="388"/>
      <c r="H153" s="389"/>
    </row>
    <row r="154" spans="1:8" x14ac:dyDescent="0.35">
      <c r="A154" s="334" t="s">
        <v>515</v>
      </c>
      <c r="B154" s="334"/>
      <c r="C154" s="217" t="s">
        <v>514</v>
      </c>
      <c r="D154" s="218"/>
      <c r="E154" s="144" t="s">
        <v>316</v>
      </c>
      <c r="F154" s="387" t="str">
        <f>IF(D154="","",IF(D154&lt;D153,"Does not meet design critiera",""))</f>
        <v/>
      </c>
      <c r="G154" s="388"/>
      <c r="H154" s="389"/>
    </row>
    <row r="155" spans="1:8" ht="13" x14ac:dyDescent="0.35">
      <c r="A155" s="412" t="s">
        <v>372</v>
      </c>
      <c r="B155" s="412"/>
      <c r="C155" s="412"/>
      <c r="D155" s="412"/>
      <c r="E155" s="412"/>
      <c r="F155" s="412"/>
      <c r="G155" s="412"/>
      <c r="H155" s="412"/>
    </row>
    <row r="156" spans="1:8" ht="13" x14ac:dyDescent="0.35">
      <c r="A156" s="335" t="s">
        <v>241</v>
      </c>
      <c r="B156" s="335"/>
      <c r="C156" s="9" t="str">
        <f>IF(A134="","",IF(D138="Yes",0,IF(D136&lt;0.5,0,IF(D139="Yes",0,IF(D141&lt;2,0,IF(D142&lt;2,0,IF(AND(D136&lt;=10,D143&lt;(F134*0.25)),0,IF(AND(D136&gt;10,D143&lt;(F134*0.5)),0,IF(D144&lt;4,0,IF(D145&gt;4,0,IF(D146="No",0,IF(D154&lt;D153,0,IF(AND(D140="Yes",D141&lt;4),0,F134*1)))))))))))))</f>
        <v/>
      </c>
      <c r="D156" s="339" t="s">
        <v>2</v>
      </c>
      <c r="E156" s="340"/>
      <c r="F156" s="340"/>
      <c r="G156" s="340"/>
      <c r="H156" s="341"/>
    </row>
    <row r="157" spans="1:8" ht="13" x14ac:dyDescent="0.35">
      <c r="A157" s="16" t="s">
        <v>56</v>
      </c>
      <c r="B157" s="225" t="str">
        <f>IF('STEP 2-WQv Calculation'!$B$4="","",'STEP 2-WQv Calculation'!$B$4)</f>
        <v/>
      </c>
    </row>
    <row r="158" spans="1:8" ht="13" x14ac:dyDescent="0.35">
      <c r="A158" s="236" t="s">
        <v>293</v>
      </c>
      <c r="B158" s="237"/>
      <c r="C158" s="237"/>
      <c r="D158" s="237"/>
      <c r="E158" s="237"/>
      <c r="F158" s="237"/>
      <c r="G158" s="237"/>
      <c r="H158" s="238"/>
    </row>
    <row r="159" spans="1:8" ht="38.5" x14ac:dyDescent="0.35">
      <c r="A159" s="204" t="s">
        <v>60</v>
      </c>
      <c r="B159" s="205" t="s">
        <v>61</v>
      </c>
      <c r="C159" s="205" t="s">
        <v>62</v>
      </c>
      <c r="D159" s="205" t="s">
        <v>63</v>
      </c>
      <c r="E159" s="205" t="s">
        <v>64</v>
      </c>
      <c r="F159" s="205" t="s">
        <v>65</v>
      </c>
      <c r="G159" s="205" t="s">
        <v>244</v>
      </c>
      <c r="H159" s="206" t="s">
        <v>13</v>
      </c>
    </row>
    <row r="160" spans="1:8" x14ac:dyDescent="0.35">
      <c r="A160" s="218"/>
      <c r="B160" s="3" t="str">
        <f>IF($A160="","",(LOOKUP($A160,'STEP 2-WQv Calculation'!$A$8:$A$37,'STEP 2-WQv Calculation'!$B$8:$B$37)))</f>
        <v/>
      </c>
      <c r="C160" s="3" t="str">
        <f>IF($A160="","",(LOOKUP($A160,'STEP 2-WQv Calculation'!$A$8:$A$37,'STEP 2-WQv Calculation'!$C$8:$C$37)))</f>
        <v/>
      </c>
      <c r="D160" s="212" t="str">
        <f>IF($A160="","",(LOOKUP($A160,'STEP 2-WQv Calculation'!$A$8:$A$37,'STEP 2-WQv Calculation'!$D$8:$D$37)))</f>
        <v/>
      </c>
      <c r="E160" s="3" t="str">
        <f>IF($A160="","",(LOOKUP($A160,'STEP 2-WQv Calculation'!$A$8:$A$37,'STEP 2-WQv Calculation'!$E$8:$E$37)))</f>
        <v/>
      </c>
      <c r="F160" s="217" t="str">
        <f>IF($A160="","",(LOOKUP($A160,'STEP 2-WQv Calculation'!$A$8:$A$37,'STEP 2-WQv Calculation'!$F$8:$F$37)))</f>
        <v/>
      </c>
      <c r="G160" s="22">
        <f>'STEP 2-WQv Calculation'!B57</f>
        <v>0</v>
      </c>
      <c r="H160" s="198" t="str">
        <f>IF($A160="","",(LOOKUP($A160,'STEP 2-WQv Calculation'!$A$8:$A$37,'STEP 2-WQv Calculation'!$G$8:$G$37)))</f>
        <v/>
      </c>
    </row>
    <row r="161" spans="1:8" ht="13" x14ac:dyDescent="0.35">
      <c r="A161" s="409" t="s">
        <v>226</v>
      </c>
      <c r="B161" s="410"/>
      <c r="C161" s="410"/>
      <c r="D161" s="410"/>
      <c r="E161" s="410"/>
      <c r="F161" s="410"/>
      <c r="G161" s="410"/>
      <c r="H161" s="411"/>
    </row>
    <row r="162" spans="1:8" x14ac:dyDescent="0.35">
      <c r="A162" s="242" t="s">
        <v>295</v>
      </c>
      <c r="B162" s="243"/>
      <c r="C162" s="244"/>
      <c r="D162" s="44"/>
      <c r="E162" s="322" t="str">
        <f>IF(D162="","",IF(D162&lt;0.5,"Does not meet design criteria",""))</f>
        <v/>
      </c>
      <c r="F162" s="323"/>
      <c r="G162" s="323"/>
      <c r="H162" s="324"/>
    </row>
    <row r="163" spans="1:8" x14ac:dyDescent="0.35">
      <c r="A163" s="242" t="s">
        <v>717</v>
      </c>
      <c r="B163" s="243"/>
      <c r="C163" s="244"/>
      <c r="D163" s="211"/>
      <c r="E163" s="322" t="str">
        <f>IF(D163="Yes","Two treatment practices in series required. Refer to Section 6.3.1","")</f>
        <v/>
      </c>
      <c r="F163" s="323"/>
      <c r="G163" s="323"/>
      <c r="H163" s="324"/>
    </row>
    <row r="164" spans="1:8" x14ac:dyDescent="0.35">
      <c r="A164" s="242" t="s">
        <v>718</v>
      </c>
      <c r="B164" s="243"/>
      <c r="C164" s="244"/>
      <c r="D164" s="211"/>
      <c r="E164" s="322" t="str">
        <f>IF(D164="","See Section 4.14 of the Design Manual",IF(D164="Yes","Does not meet design criteria",""))</f>
        <v>See Section 4.14 of the Design Manual</v>
      </c>
      <c r="F164" s="323"/>
      <c r="G164" s="323"/>
      <c r="H164" s="324"/>
    </row>
    <row r="165" spans="1:8" x14ac:dyDescent="0.35">
      <c r="A165" s="242" t="s">
        <v>506</v>
      </c>
      <c r="B165" s="243"/>
      <c r="C165" s="244"/>
      <c r="D165" s="135" t="str">
        <f>IF(B160="","",IF(B160&gt;5,"Yes","No"))</f>
        <v/>
      </c>
      <c r="E165" s="322" t="str">
        <f>IF(D165="Yes","Does not meet design criteria","")</f>
        <v/>
      </c>
      <c r="F165" s="323"/>
      <c r="G165" s="323"/>
      <c r="H165" s="324"/>
    </row>
    <row r="166" spans="1:8" ht="14.5" x14ac:dyDescent="0.35">
      <c r="A166" s="242" t="s">
        <v>703</v>
      </c>
      <c r="B166" s="406"/>
      <c r="C166" s="407"/>
      <c r="D166" s="43"/>
      <c r="E166" s="322"/>
      <c r="F166" s="406"/>
      <c r="G166" s="406"/>
      <c r="H166" s="407"/>
    </row>
    <row r="167" spans="1:8" x14ac:dyDescent="0.35">
      <c r="A167" s="242" t="s">
        <v>296</v>
      </c>
      <c r="B167" s="243"/>
      <c r="C167" s="244"/>
      <c r="D167" s="43"/>
      <c r="E167" s="322" t="str">
        <f>IF(OR(AND(D166="Yes",D167&lt;4),AND(D166="No",D167&lt;2)),"Does not meet design criteria","")</f>
        <v/>
      </c>
      <c r="F167" s="323"/>
      <c r="G167" s="323"/>
      <c r="H167" s="324"/>
    </row>
    <row r="168" spans="1:8" x14ac:dyDescent="0.35">
      <c r="A168" s="242" t="s">
        <v>297</v>
      </c>
      <c r="B168" s="243"/>
      <c r="C168" s="244"/>
      <c r="D168" s="43"/>
      <c r="E168" s="322" t="str">
        <f>IF(D168="","",IF(D168&lt;2,"Does not meet design criteria",""))</f>
        <v/>
      </c>
      <c r="F168" s="323"/>
      <c r="G168" s="323"/>
      <c r="H168" s="324"/>
    </row>
    <row r="169" spans="1:8" x14ac:dyDescent="0.35">
      <c r="A169" s="242" t="s">
        <v>507</v>
      </c>
      <c r="B169" s="243"/>
      <c r="C169" s="244"/>
      <c r="D169" s="43"/>
      <c r="E169" s="322" t="str">
        <f>IF(D169="","",IF(AND(D162&lt;=10,D169&lt;(F160*0.25)),"Does not meet design criteria",IF(AND(D162&gt;10,D169&lt;(F160*0.5)),"Does not meet design criteria","")))</f>
        <v/>
      </c>
      <c r="F169" s="323"/>
      <c r="G169" s="323"/>
      <c r="H169" s="324"/>
    </row>
    <row r="170" spans="1:8" x14ac:dyDescent="0.35">
      <c r="A170" s="242" t="s">
        <v>508</v>
      </c>
      <c r="B170" s="243"/>
      <c r="C170" s="244"/>
      <c r="D170" s="43"/>
      <c r="E170" s="322" t="str">
        <f>IF(D170="","",IF(D170&lt;4,"Does not meet design criteria",""))</f>
        <v/>
      </c>
      <c r="F170" s="323"/>
      <c r="G170" s="323"/>
      <c r="H170" s="324"/>
    </row>
    <row r="171" spans="1:8" x14ac:dyDescent="0.35">
      <c r="A171" s="242" t="s">
        <v>509</v>
      </c>
      <c r="B171" s="243"/>
      <c r="C171" s="244"/>
      <c r="D171" s="43"/>
      <c r="E171" s="322" t="str">
        <f>IF(D171&gt;4,"Does not meet design criteia","")</f>
        <v/>
      </c>
      <c r="F171" s="323"/>
      <c r="G171" s="323"/>
      <c r="H171" s="324"/>
    </row>
    <row r="172" spans="1:8" x14ac:dyDescent="0.35">
      <c r="A172" s="242" t="s">
        <v>510</v>
      </c>
      <c r="B172" s="243"/>
      <c r="C172" s="244"/>
      <c r="D172" s="211"/>
      <c r="E172" s="322" t="str">
        <f>IF(D172="No","Does not meet design criteria","")</f>
        <v/>
      </c>
      <c r="F172" s="323"/>
      <c r="G172" s="323"/>
      <c r="H172" s="324"/>
    </row>
    <row r="173" spans="1:8" ht="14.5" x14ac:dyDescent="0.35">
      <c r="A173" s="242" t="s">
        <v>704</v>
      </c>
      <c r="B173" s="406"/>
      <c r="C173" s="407"/>
      <c r="D173" s="43"/>
      <c r="E173" s="322" t="str">
        <f>IF(D173&lt;=15,"","A slope stability analysis is required.")</f>
        <v/>
      </c>
      <c r="F173" s="406"/>
      <c r="G173" s="406"/>
      <c r="H173" s="407"/>
    </row>
    <row r="174" spans="1:8" ht="13" x14ac:dyDescent="0.35">
      <c r="A174" s="409" t="s">
        <v>232</v>
      </c>
      <c r="B174" s="410"/>
      <c r="C174" s="410"/>
      <c r="D174" s="410"/>
      <c r="E174" s="410"/>
      <c r="F174" s="410"/>
      <c r="G174" s="410"/>
      <c r="H174" s="411"/>
    </row>
    <row r="175" spans="1:8" x14ac:dyDescent="0.35">
      <c r="A175" s="378"/>
      <c r="B175" s="379"/>
      <c r="C175" s="380"/>
      <c r="D175" s="222" t="s">
        <v>256</v>
      </c>
      <c r="E175" s="208" t="s">
        <v>257</v>
      </c>
      <c r="F175" s="375" t="s">
        <v>258</v>
      </c>
      <c r="G175" s="376"/>
      <c r="H175" s="377"/>
    </row>
    <row r="176" spans="1:8" x14ac:dyDescent="0.35">
      <c r="A176" s="289" t="s">
        <v>302</v>
      </c>
      <c r="B176" s="289"/>
      <c r="C176" s="198" t="s">
        <v>303</v>
      </c>
      <c r="D176" s="212" t="str">
        <f>F160</f>
        <v/>
      </c>
      <c r="E176" s="193" t="s">
        <v>2</v>
      </c>
      <c r="F176" s="344"/>
      <c r="G176" s="344"/>
      <c r="H176" s="344"/>
    </row>
    <row r="177" spans="1:8" x14ac:dyDescent="0.35">
      <c r="A177" s="289" t="s">
        <v>405</v>
      </c>
      <c r="B177" s="289"/>
      <c r="C177" s="198" t="s">
        <v>268</v>
      </c>
      <c r="D177" s="3">
        <v>0.4</v>
      </c>
      <c r="E177" s="193"/>
      <c r="F177" s="322"/>
      <c r="G177" s="323"/>
      <c r="H177" s="324"/>
    </row>
    <row r="178" spans="1:8" x14ac:dyDescent="0.35">
      <c r="A178" s="289" t="s">
        <v>511</v>
      </c>
      <c r="B178" s="289"/>
      <c r="C178" s="198" t="s">
        <v>512</v>
      </c>
      <c r="D178" s="153">
        <f>D171</f>
        <v>0</v>
      </c>
      <c r="E178" s="193" t="s">
        <v>271</v>
      </c>
      <c r="F178" s="344" t="str">
        <f>IF(D178&gt;4,"Does not meet design criteia","")</f>
        <v/>
      </c>
      <c r="G178" s="344"/>
      <c r="H178" s="344"/>
    </row>
    <row r="179" spans="1:8" x14ac:dyDescent="0.35">
      <c r="A179" s="334" t="s">
        <v>513</v>
      </c>
      <c r="B179" s="334"/>
      <c r="C179" s="217" t="s">
        <v>514</v>
      </c>
      <c r="D179" s="22" t="e">
        <f>ROUNDUP(D176/(D177*D178),0)</f>
        <v>#VALUE!</v>
      </c>
      <c r="E179" s="144" t="s">
        <v>316</v>
      </c>
      <c r="F179" s="387"/>
      <c r="G179" s="388"/>
      <c r="H179" s="389"/>
    </row>
    <row r="180" spans="1:8" x14ac:dyDescent="0.35">
      <c r="A180" s="334" t="s">
        <v>515</v>
      </c>
      <c r="B180" s="334"/>
      <c r="C180" s="217" t="s">
        <v>514</v>
      </c>
      <c r="D180" s="218"/>
      <c r="E180" s="144" t="s">
        <v>316</v>
      </c>
      <c r="F180" s="387" t="str">
        <f>IF(D180="","",IF(D180&lt;D179,"Does not meet design critiera",""))</f>
        <v/>
      </c>
      <c r="G180" s="388"/>
      <c r="H180" s="389"/>
    </row>
    <row r="181" spans="1:8" ht="13" x14ac:dyDescent="0.35">
      <c r="A181" s="412" t="s">
        <v>372</v>
      </c>
      <c r="B181" s="412"/>
      <c r="C181" s="412"/>
      <c r="D181" s="412"/>
      <c r="E181" s="412"/>
      <c r="F181" s="412"/>
      <c r="G181" s="412"/>
      <c r="H181" s="412"/>
    </row>
    <row r="182" spans="1:8" ht="13" x14ac:dyDescent="0.35">
      <c r="A182" s="335" t="s">
        <v>241</v>
      </c>
      <c r="B182" s="335"/>
      <c r="C182" s="9" t="str">
        <f>IF(A160="","",IF(D164="Yes",0,IF(D162&lt;0.5,0,IF(D165="Yes",0,IF(D167&lt;2,0,IF(D168&lt;2,0,IF(AND(D162&lt;=10,D169&lt;(F160*0.25)),0,IF(AND(D162&gt;10,D169&lt;(F160*0.5)),0,IF(D170&lt;4,0,IF(D171&gt;4,0,IF(D172="No",0,IF(D180&lt;D179,0,IF(AND(D166="Yes",D167&lt;4),0,F160*1)))))))))))))</f>
        <v/>
      </c>
      <c r="D182" s="339" t="s">
        <v>2</v>
      </c>
      <c r="E182" s="340"/>
      <c r="F182" s="340"/>
      <c r="G182" s="340"/>
      <c r="H182" s="341"/>
    </row>
    <row r="183" spans="1:8" ht="13" x14ac:dyDescent="0.35">
      <c r="A183" s="16" t="s">
        <v>56</v>
      </c>
      <c r="B183" s="225" t="str">
        <f>IF('STEP 2-WQv Calculation'!$B$4="","",'STEP 2-WQv Calculation'!$B$4)</f>
        <v/>
      </c>
    </row>
    <row r="184" spans="1:8" ht="13" x14ac:dyDescent="0.35">
      <c r="A184" s="236" t="s">
        <v>293</v>
      </c>
      <c r="B184" s="237"/>
      <c r="C184" s="237"/>
      <c r="D184" s="237"/>
      <c r="E184" s="237"/>
      <c r="F184" s="237"/>
      <c r="G184" s="237"/>
      <c r="H184" s="238"/>
    </row>
    <row r="185" spans="1:8" ht="38.5" x14ac:dyDescent="0.35">
      <c r="A185" s="204" t="s">
        <v>60</v>
      </c>
      <c r="B185" s="205" t="s">
        <v>61</v>
      </c>
      <c r="C185" s="205" t="s">
        <v>62</v>
      </c>
      <c r="D185" s="205" t="s">
        <v>63</v>
      </c>
      <c r="E185" s="205" t="s">
        <v>64</v>
      </c>
      <c r="F185" s="205" t="s">
        <v>65</v>
      </c>
      <c r="G185" s="205" t="s">
        <v>244</v>
      </c>
      <c r="H185" s="206" t="s">
        <v>13</v>
      </c>
    </row>
    <row r="186" spans="1:8" x14ac:dyDescent="0.35">
      <c r="A186" s="218"/>
      <c r="B186" s="3" t="str">
        <f>IF($A186="","",(LOOKUP($A186,'STEP 2-WQv Calculation'!$A$8:$A$37,'STEP 2-WQv Calculation'!$B$8:$B$37)))</f>
        <v/>
      </c>
      <c r="C186" s="3" t="str">
        <f>IF($A186="","",(LOOKUP($A186,'STEP 2-WQv Calculation'!$A$8:$A$37,'STEP 2-WQv Calculation'!$C$8:$C$37)))</f>
        <v/>
      </c>
      <c r="D186" s="212" t="str">
        <f>IF($A186="","",(LOOKUP($A186,'STEP 2-WQv Calculation'!$A$8:$A$37,'STEP 2-WQv Calculation'!$D$8:$D$37)))</f>
        <v/>
      </c>
      <c r="E186" s="3" t="str">
        <f>IF($A186="","",(LOOKUP($A186,'STEP 2-WQv Calculation'!$A$8:$A$37,'STEP 2-WQv Calculation'!$E$8:$E$37)))</f>
        <v/>
      </c>
      <c r="F186" s="217" t="str">
        <f>IF($A186="","",(LOOKUP($A186,'STEP 2-WQv Calculation'!$A$8:$A$37,'STEP 2-WQv Calculation'!$F$8:$F$37)))</f>
        <v/>
      </c>
      <c r="G186" s="22">
        <f>'STEP 2-WQv Calculation'!B83</f>
        <v>0</v>
      </c>
      <c r="H186" s="198" t="str">
        <f>IF($A186="","",(LOOKUP($A186,'STEP 2-WQv Calculation'!$A$8:$A$37,'STEP 2-WQv Calculation'!$G$8:$G$37)))</f>
        <v/>
      </c>
    </row>
    <row r="187" spans="1:8" ht="13" x14ac:dyDescent="0.35">
      <c r="A187" s="409" t="s">
        <v>226</v>
      </c>
      <c r="B187" s="410"/>
      <c r="C187" s="410"/>
      <c r="D187" s="410"/>
      <c r="E187" s="410"/>
      <c r="F187" s="410"/>
      <c r="G187" s="410"/>
      <c r="H187" s="411"/>
    </row>
    <row r="188" spans="1:8" x14ac:dyDescent="0.35">
      <c r="A188" s="242" t="s">
        <v>295</v>
      </c>
      <c r="B188" s="243"/>
      <c r="C188" s="244"/>
      <c r="D188" s="44"/>
      <c r="E188" s="322" t="str">
        <f>IF(D188="","",IF(D188&lt;0.5,"Does not meet design criteria",""))</f>
        <v/>
      </c>
      <c r="F188" s="323"/>
      <c r="G188" s="323"/>
      <c r="H188" s="324"/>
    </row>
    <row r="189" spans="1:8" x14ac:dyDescent="0.35">
      <c r="A189" s="242" t="s">
        <v>717</v>
      </c>
      <c r="B189" s="243"/>
      <c r="C189" s="244"/>
      <c r="D189" s="211"/>
      <c r="E189" s="322" t="str">
        <f>IF(D189="Yes","Two treatment practices in series required. Refer to Section 6.3.1","")</f>
        <v/>
      </c>
      <c r="F189" s="323"/>
      <c r="G189" s="323"/>
      <c r="H189" s="324"/>
    </row>
    <row r="190" spans="1:8" x14ac:dyDescent="0.35">
      <c r="A190" s="242" t="s">
        <v>718</v>
      </c>
      <c r="B190" s="243"/>
      <c r="C190" s="244"/>
      <c r="D190" s="211"/>
      <c r="E190" s="322" t="str">
        <f>IF(D190="","See Section 4.14 of the Design Manual",IF(D190="Yes","Does not meet design criteria",""))</f>
        <v>See Section 4.14 of the Design Manual</v>
      </c>
      <c r="F190" s="323"/>
      <c r="G190" s="323"/>
      <c r="H190" s="324"/>
    </row>
    <row r="191" spans="1:8" x14ac:dyDescent="0.35">
      <c r="A191" s="242" t="s">
        <v>506</v>
      </c>
      <c r="B191" s="243"/>
      <c r="C191" s="244"/>
      <c r="D191" s="135" t="str">
        <f>IF(B186="","",IF(B186&gt;5,"Yes","No"))</f>
        <v/>
      </c>
      <c r="E191" s="322" t="str">
        <f>IF(D191="Yes","Does not meet design criteria","")</f>
        <v/>
      </c>
      <c r="F191" s="323"/>
      <c r="G191" s="323"/>
      <c r="H191" s="324"/>
    </row>
    <row r="192" spans="1:8" ht="14.5" x14ac:dyDescent="0.35">
      <c r="A192" s="242" t="s">
        <v>703</v>
      </c>
      <c r="B192" s="406"/>
      <c r="C192" s="407"/>
      <c r="D192" s="43"/>
      <c r="E192" s="322"/>
      <c r="F192" s="406"/>
      <c r="G192" s="406"/>
      <c r="H192" s="407"/>
    </row>
    <row r="193" spans="1:8" x14ac:dyDescent="0.35">
      <c r="A193" s="242" t="s">
        <v>296</v>
      </c>
      <c r="B193" s="243"/>
      <c r="C193" s="244"/>
      <c r="D193" s="43"/>
      <c r="E193" s="322" t="str">
        <f>IF(OR(AND(D192="Yes",D193&lt;4),AND(D192="No",D193&lt;2)),"Does not meet design criteria","")</f>
        <v/>
      </c>
      <c r="F193" s="323"/>
      <c r="G193" s="323"/>
      <c r="H193" s="324"/>
    </row>
    <row r="194" spans="1:8" x14ac:dyDescent="0.35">
      <c r="A194" s="242" t="s">
        <v>297</v>
      </c>
      <c r="B194" s="243"/>
      <c r="C194" s="244"/>
      <c r="D194" s="43"/>
      <c r="E194" s="322" t="str">
        <f>IF(D194="","",IF(D194&lt;2,"Does not meet design criteria",""))</f>
        <v/>
      </c>
      <c r="F194" s="323"/>
      <c r="G194" s="323"/>
      <c r="H194" s="324"/>
    </row>
    <row r="195" spans="1:8" x14ac:dyDescent="0.35">
      <c r="A195" s="242" t="s">
        <v>507</v>
      </c>
      <c r="B195" s="243"/>
      <c r="C195" s="244"/>
      <c r="D195" s="43"/>
      <c r="E195" s="322" t="str">
        <f>IF(D195="","",IF(AND(D188&lt;=10,D195&lt;(F186*0.25)),"Does not meet design criteria",IF(AND(D188&gt;10,D195&lt;(F186*0.5)),"Does not meet design criteria","")))</f>
        <v/>
      </c>
      <c r="F195" s="323"/>
      <c r="G195" s="323"/>
      <c r="H195" s="324"/>
    </row>
    <row r="196" spans="1:8" x14ac:dyDescent="0.35">
      <c r="A196" s="242" t="s">
        <v>508</v>
      </c>
      <c r="B196" s="243"/>
      <c r="C196" s="244"/>
      <c r="D196" s="43"/>
      <c r="E196" s="322" t="str">
        <f>IF(D196="","",IF(D196&lt;4,"Does not meet design criteria",""))</f>
        <v/>
      </c>
      <c r="F196" s="323"/>
      <c r="G196" s="323"/>
      <c r="H196" s="324"/>
    </row>
    <row r="197" spans="1:8" x14ac:dyDescent="0.35">
      <c r="A197" s="242" t="s">
        <v>509</v>
      </c>
      <c r="B197" s="243"/>
      <c r="C197" s="244"/>
      <c r="D197" s="43"/>
      <c r="E197" s="322" t="str">
        <f>IF(D197&gt;4,"Does not meet design criteia","")</f>
        <v/>
      </c>
      <c r="F197" s="323"/>
      <c r="G197" s="323"/>
      <c r="H197" s="324"/>
    </row>
    <row r="198" spans="1:8" x14ac:dyDescent="0.35">
      <c r="A198" s="242" t="s">
        <v>510</v>
      </c>
      <c r="B198" s="243"/>
      <c r="C198" s="244"/>
      <c r="D198" s="211"/>
      <c r="E198" s="322" t="str">
        <f>IF(D198="No","Does not meet design criteria","")</f>
        <v/>
      </c>
      <c r="F198" s="323"/>
      <c r="G198" s="323"/>
      <c r="H198" s="324"/>
    </row>
    <row r="199" spans="1:8" ht="14.5" x14ac:dyDescent="0.35">
      <c r="A199" s="242" t="s">
        <v>704</v>
      </c>
      <c r="B199" s="406"/>
      <c r="C199" s="407"/>
      <c r="D199" s="43"/>
      <c r="E199" s="322" t="str">
        <f>IF(D199&lt;=15,"","A slope stability analysis is required.")</f>
        <v/>
      </c>
      <c r="F199" s="406"/>
      <c r="G199" s="406"/>
      <c r="H199" s="407"/>
    </row>
    <row r="200" spans="1:8" ht="13" x14ac:dyDescent="0.35">
      <c r="A200" s="409" t="s">
        <v>232</v>
      </c>
      <c r="B200" s="410"/>
      <c r="C200" s="410"/>
      <c r="D200" s="410"/>
      <c r="E200" s="410"/>
      <c r="F200" s="410"/>
      <c r="G200" s="410"/>
      <c r="H200" s="411"/>
    </row>
    <row r="201" spans="1:8" x14ac:dyDescent="0.35">
      <c r="A201" s="378"/>
      <c r="B201" s="379"/>
      <c r="C201" s="380"/>
      <c r="D201" s="222" t="s">
        <v>256</v>
      </c>
      <c r="E201" s="208" t="s">
        <v>257</v>
      </c>
      <c r="F201" s="375" t="s">
        <v>258</v>
      </c>
      <c r="G201" s="376"/>
      <c r="H201" s="377"/>
    </row>
    <row r="202" spans="1:8" x14ac:dyDescent="0.35">
      <c r="A202" s="289" t="s">
        <v>302</v>
      </c>
      <c r="B202" s="289"/>
      <c r="C202" s="198" t="s">
        <v>303</v>
      </c>
      <c r="D202" s="212" t="str">
        <f>F186</f>
        <v/>
      </c>
      <c r="E202" s="193" t="s">
        <v>2</v>
      </c>
      <c r="F202" s="344"/>
      <c r="G202" s="344"/>
      <c r="H202" s="344"/>
    </row>
    <row r="203" spans="1:8" x14ac:dyDescent="0.35">
      <c r="A203" s="289" t="s">
        <v>405</v>
      </c>
      <c r="B203" s="289"/>
      <c r="C203" s="198" t="s">
        <v>268</v>
      </c>
      <c r="D203" s="3">
        <v>0.4</v>
      </c>
      <c r="E203" s="193"/>
      <c r="F203" s="322"/>
      <c r="G203" s="323"/>
      <c r="H203" s="324"/>
    </row>
    <row r="204" spans="1:8" x14ac:dyDescent="0.35">
      <c r="A204" s="289" t="s">
        <v>511</v>
      </c>
      <c r="B204" s="289"/>
      <c r="C204" s="198" t="s">
        <v>512</v>
      </c>
      <c r="D204" s="153">
        <f>D197</f>
        <v>0</v>
      </c>
      <c r="E204" s="193" t="s">
        <v>271</v>
      </c>
      <c r="F204" s="344" t="str">
        <f>IF(D204&gt;4,"Does not meet design criteia","")</f>
        <v/>
      </c>
      <c r="G204" s="344"/>
      <c r="H204" s="344"/>
    </row>
    <row r="205" spans="1:8" x14ac:dyDescent="0.35">
      <c r="A205" s="334" t="s">
        <v>513</v>
      </c>
      <c r="B205" s="334"/>
      <c r="C205" s="217" t="s">
        <v>514</v>
      </c>
      <c r="D205" s="22" t="e">
        <f>ROUNDUP(D202/(D203*D204),0)</f>
        <v>#VALUE!</v>
      </c>
      <c r="E205" s="144" t="s">
        <v>316</v>
      </c>
      <c r="F205" s="387"/>
      <c r="G205" s="388"/>
      <c r="H205" s="389"/>
    </row>
    <row r="206" spans="1:8" x14ac:dyDescent="0.35">
      <c r="A206" s="334" t="s">
        <v>515</v>
      </c>
      <c r="B206" s="334"/>
      <c r="C206" s="217" t="s">
        <v>514</v>
      </c>
      <c r="D206" s="218"/>
      <c r="E206" s="144" t="s">
        <v>316</v>
      </c>
      <c r="F206" s="387" t="str">
        <f>IF(D206="","",IF(D206&lt;D205,"Does not meet design critiera",""))</f>
        <v/>
      </c>
      <c r="G206" s="388"/>
      <c r="H206" s="389"/>
    </row>
    <row r="207" spans="1:8" ht="13" x14ac:dyDescent="0.35">
      <c r="A207" s="412" t="s">
        <v>372</v>
      </c>
      <c r="B207" s="412"/>
      <c r="C207" s="412"/>
      <c r="D207" s="412"/>
      <c r="E207" s="412"/>
      <c r="F207" s="412"/>
      <c r="G207" s="412"/>
      <c r="H207" s="412"/>
    </row>
    <row r="208" spans="1:8" ht="13" x14ac:dyDescent="0.35">
      <c r="A208" s="335" t="s">
        <v>241</v>
      </c>
      <c r="B208" s="335"/>
      <c r="C208" s="9" t="str">
        <f>IF(A186="","",IF(D190="Yes",0,IF(D188&lt;0.5,0,IF(D191="Yes",0,IF(D193&lt;2,0,IF(D194&lt;2,0,IF(AND(D188&lt;=10,D195&lt;(F186*0.25)),0,IF(AND(D188&gt;10,D195&lt;(F186*0.5)),0,IF(D196&lt;4,0,IF(D197&gt;4,0,IF(D198="No",0,IF(D206&lt;D205,0,IF(AND(D192="Yes",D193&lt;4),0,F186*1)))))))))))))</f>
        <v/>
      </c>
      <c r="D208" s="339" t="s">
        <v>2</v>
      </c>
      <c r="E208" s="340"/>
      <c r="F208" s="340"/>
      <c r="G208" s="340"/>
      <c r="H208" s="341"/>
    </row>
    <row r="209" spans="1:8" ht="13" x14ac:dyDescent="0.35">
      <c r="A209" s="16" t="s">
        <v>56</v>
      </c>
      <c r="B209" s="225" t="str">
        <f>IF('STEP 2-WQv Calculation'!$B$4="","",'STEP 2-WQv Calculation'!$B$4)</f>
        <v/>
      </c>
    </row>
    <row r="210" spans="1:8" ht="13" x14ac:dyDescent="0.35">
      <c r="A210" s="236" t="s">
        <v>293</v>
      </c>
      <c r="B210" s="237"/>
      <c r="C210" s="237"/>
      <c r="D210" s="237"/>
      <c r="E210" s="237"/>
      <c r="F210" s="237"/>
      <c r="G210" s="237"/>
      <c r="H210" s="238"/>
    </row>
    <row r="211" spans="1:8" ht="38.5" x14ac:dyDescent="0.35">
      <c r="A211" s="204" t="s">
        <v>60</v>
      </c>
      <c r="B211" s="205" t="s">
        <v>61</v>
      </c>
      <c r="C211" s="205" t="s">
        <v>62</v>
      </c>
      <c r="D211" s="205" t="s">
        <v>63</v>
      </c>
      <c r="E211" s="205" t="s">
        <v>64</v>
      </c>
      <c r="F211" s="205" t="s">
        <v>65</v>
      </c>
      <c r="G211" s="205" t="s">
        <v>244</v>
      </c>
      <c r="H211" s="206" t="s">
        <v>13</v>
      </c>
    </row>
    <row r="212" spans="1:8" x14ac:dyDescent="0.35">
      <c r="A212" s="218"/>
      <c r="B212" s="3" t="str">
        <f>IF($A212="","",(LOOKUP($A212,'STEP 2-WQv Calculation'!$A$8:$A$37,'STEP 2-WQv Calculation'!$B$8:$B$37)))</f>
        <v/>
      </c>
      <c r="C212" s="3" t="str">
        <f>IF($A212="","",(LOOKUP($A212,'STEP 2-WQv Calculation'!$A$8:$A$37,'STEP 2-WQv Calculation'!$C$8:$C$37)))</f>
        <v/>
      </c>
      <c r="D212" s="212" t="str">
        <f>IF($A212="","",(LOOKUP($A212,'STEP 2-WQv Calculation'!$A$8:$A$37,'STEP 2-WQv Calculation'!$D$8:$D$37)))</f>
        <v/>
      </c>
      <c r="E212" s="3" t="str">
        <f>IF($A212="","",(LOOKUP($A212,'STEP 2-WQv Calculation'!$A$8:$A$37,'STEP 2-WQv Calculation'!$E$8:$E$37)))</f>
        <v/>
      </c>
      <c r="F212" s="217" t="str">
        <f>IF($A212="","",(LOOKUP($A212,'STEP 2-WQv Calculation'!$A$8:$A$37,'STEP 2-WQv Calculation'!$F$8:$F$37)))</f>
        <v/>
      </c>
      <c r="G212" s="22">
        <f>'STEP 2-WQv Calculation'!B109</f>
        <v>0</v>
      </c>
      <c r="H212" s="198" t="str">
        <f>IF($A212="","",(LOOKUP($A212,'STEP 2-WQv Calculation'!$A$8:$A$37,'STEP 2-WQv Calculation'!$G$8:$G$37)))</f>
        <v/>
      </c>
    </row>
    <row r="213" spans="1:8" ht="13" x14ac:dyDescent="0.35">
      <c r="A213" s="409" t="s">
        <v>226</v>
      </c>
      <c r="B213" s="410"/>
      <c r="C213" s="410"/>
      <c r="D213" s="410"/>
      <c r="E213" s="410"/>
      <c r="F213" s="410"/>
      <c r="G213" s="410"/>
      <c r="H213" s="411"/>
    </row>
    <row r="214" spans="1:8" x14ac:dyDescent="0.35">
      <c r="A214" s="242" t="s">
        <v>295</v>
      </c>
      <c r="B214" s="243"/>
      <c r="C214" s="244"/>
      <c r="D214" s="44"/>
      <c r="E214" s="322" t="str">
        <f>IF(D214="","",IF(D214&lt;0.5,"Does not meet design criteria",""))</f>
        <v/>
      </c>
      <c r="F214" s="323"/>
      <c r="G214" s="323"/>
      <c r="H214" s="324"/>
    </row>
    <row r="215" spans="1:8" x14ac:dyDescent="0.35">
      <c r="A215" s="242" t="s">
        <v>717</v>
      </c>
      <c r="B215" s="243"/>
      <c r="C215" s="244"/>
      <c r="D215" s="211"/>
      <c r="E215" s="322" t="str">
        <f>IF(D215="Yes","Two treatment practices in series required. Refer to Section 6.3.1","")</f>
        <v/>
      </c>
      <c r="F215" s="323"/>
      <c r="G215" s="323"/>
      <c r="H215" s="324"/>
    </row>
    <row r="216" spans="1:8" x14ac:dyDescent="0.35">
      <c r="A216" s="242" t="s">
        <v>718</v>
      </c>
      <c r="B216" s="243"/>
      <c r="C216" s="244"/>
      <c r="D216" s="211"/>
      <c r="E216" s="322" t="str">
        <f>IF(D216="","See Section 4.14 of the Design Manual",IF(D216="Yes","Does not meet design criteria",""))</f>
        <v>See Section 4.14 of the Design Manual</v>
      </c>
      <c r="F216" s="323"/>
      <c r="G216" s="323"/>
      <c r="H216" s="324"/>
    </row>
    <row r="217" spans="1:8" x14ac:dyDescent="0.35">
      <c r="A217" s="242" t="s">
        <v>506</v>
      </c>
      <c r="B217" s="243"/>
      <c r="C217" s="244"/>
      <c r="D217" s="135" t="str">
        <f>IF(B212="","",IF(B212&gt;5,"Yes","No"))</f>
        <v/>
      </c>
      <c r="E217" s="322" t="str">
        <f>IF(D217="Yes","Does not meet design criteria","")</f>
        <v/>
      </c>
      <c r="F217" s="323"/>
      <c r="G217" s="323"/>
      <c r="H217" s="324"/>
    </row>
    <row r="218" spans="1:8" ht="14.5" x14ac:dyDescent="0.35">
      <c r="A218" s="242" t="s">
        <v>703</v>
      </c>
      <c r="B218" s="406"/>
      <c r="C218" s="407"/>
      <c r="D218" s="43"/>
      <c r="E218" s="322"/>
      <c r="F218" s="406"/>
      <c r="G218" s="406"/>
      <c r="H218" s="407"/>
    </row>
    <row r="219" spans="1:8" x14ac:dyDescent="0.35">
      <c r="A219" s="242" t="s">
        <v>296</v>
      </c>
      <c r="B219" s="243"/>
      <c r="C219" s="244"/>
      <c r="D219" s="43"/>
      <c r="E219" s="322" t="str">
        <f>IF(OR(AND(D218="Yes",D219&lt;4),AND(D218="No",D219&lt;2)),"Does not meet design criteria","")</f>
        <v/>
      </c>
      <c r="F219" s="323"/>
      <c r="G219" s="323"/>
      <c r="H219" s="324"/>
    </row>
    <row r="220" spans="1:8" x14ac:dyDescent="0.35">
      <c r="A220" s="242" t="s">
        <v>297</v>
      </c>
      <c r="B220" s="243"/>
      <c r="C220" s="244"/>
      <c r="D220" s="43"/>
      <c r="E220" s="322" t="str">
        <f>IF(D220="","",IF(D220&lt;2,"Does not meet design criteria",""))</f>
        <v/>
      </c>
      <c r="F220" s="323"/>
      <c r="G220" s="323"/>
      <c r="H220" s="324"/>
    </row>
    <row r="221" spans="1:8" x14ac:dyDescent="0.35">
      <c r="A221" s="242" t="s">
        <v>507</v>
      </c>
      <c r="B221" s="243"/>
      <c r="C221" s="244"/>
      <c r="D221" s="43"/>
      <c r="E221" s="322" t="str">
        <f>IF(D221="","",IF(AND(D214&lt;=10,D221&lt;(F212*0.25)),"Does not meet design criteria",IF(AND(D214&gt;10,D221&lt;(F212*0.5)),"Does not meet design criteria","")))</f>
        <v/>
      </c>
      <c r="F221" s="323"/>
      <c r="G221" s="323"/>
      <c r="H221" s="324"/>
    </row>
    <row r="222" spans="1:8" x14ac:dyDescent="0.35">
      <c r="A222" s="242" t="s">
        <v>508</v>
      </c>
      <c r="B222" s="243"/>
      <c r="C222" s="244"/>
      <c r="D222" s="43"/>
      <c r="E222" s="322" t="str">
        <f>IF(D222="","",IF(D222&lt;4,"Does not meet design criteria",""))</f>
        <v/>
      </c>
      <c r="F222" s="323"/>
      <c r="G222" s="323"/>
      <c r="H222" s="324"/>
    </row>
    <row r="223" spans="1:8" x14ac:dyDescent="0.35">
      <c r="A223" s="242" t="s">
        <v>509</v>
      </c>
      <c r="B223" s="243"/>
      <c r="C223" s="244"/>
      <c r="D223" s="43"/>
      <c r="E223" s="322" t="str">
        <f>IF(D223&gt;4,"Does not meet design criteia","")</f>
        <v/>
      </c>
      <c r="F223" s="323"/>
      <c r="G223" s="323"/>
      <c r="H223" s="324"/>
    </row>
    <row r="224" spans="1:8" x14ac:dyDescent="0.35">
      <c r="A224" s="242" t="s">
        <v>510</v>
      </c>
      <c r="B224" s="243"/>
      <c r="C224" s="244"/>
      <c r="D224" s="211"/>
      <c r="E224" s="322" t="str">
        <f>IF(D224="No","Does not meet design criteria","")</f>
        <v/>
      </c>
      <c r="F224" s="323"/>
      <c r="G224" s="323"/>
      <c r="H224" s="324"/>
    </row>
    <row r="225" spans="1:8" ht="14.5" x14ac:dyDescent="0.35">
      <c r="A225" s="242" t="s">
        <v>704</v>
      </c>
      <c r="B225" s="406"/>
      <c r="C225" s="407"/>
      <c r="D225" s="43"/>
      <c r="E225" s="322" t="str">
        <f>IF(D225&lt;=15,"","A slope stability analysis is required.")</f>
        <v/>
      </c>
      <c r="F225" s="406"/>
      <c r="G225" s="406"/>
      <c r="H225" s="407"/>
    </row>
    <row r="226" spans="1:8" ht="13" x14ac:dyDescent="0.35">
      <c r="A226" s="409" t="s">
        <v>232</v>
      </c>
      <c r="B226" s="410"/>
      <c r="C226" s="410"/>
      <c r="D226" s="410"/>
      <c r="E226" s="410"/>
      <c r="F226" s="410"/>
      <c r="G226" s="410"/>
      <c r="H226" s="411"/>
    </row>
    <row r="227" spans="1:8" x14ac:dyDescent="0.35">
      <c r="A227" s="378"/>
      <c r="B227" s="379"/>
      <c r="C227" s="380"/>
      <c r="D227" s="222" t="s">
        <v>256</v>
      </c>
      <c r="E227" s="208" t="s">
        <v>257</v>
      </c>
      <c r="F227" s="375" t="s">
        <v>258</v>
      </c>
      <c r="G227" s="376"/>
      <c r="H227" s="377"/>
    </row>
    <row r="228" spans="1:8" x14ac:dyDescent="0.35">
      <c r="A228" s="289" t="s">
        <v>302</v>
      </c>
      <c r="B228" s="289"/>
      <c r="C228" s="198" t="s">
        <v>303</v>
      </c>
      <c r="D228" s="212" t="str">
        <f>F212</f>
        <v/>
      </c>
      <c r="E228" s="193" t="s">
        <v>2</v>
      </c>
      <c r="F228" s="344"/>
      <c r="G228" s="344"/>
      <c r="H228" s="344"/>
    </row>
    <row r="229" spans="1:8" x14ac:dyDescent="0.35">
      <c r="A229" s="289" t="s">
        <v>405</v>
      </c>
      <c r="B229" s="289"/>
      <c r="C229" s="198" t="s">
        <v>268</v>
      </c>
      <c r="D229" s="3">
        <v>0.4</v>
      </c>
      <c r="E229" s="193"/>
      <c r="F229" s="322"/>
      <c r="G229" s="323"/>
      <c r="H229" s="324"/>
    </row>
    <row r="230" spans="1:8" x14ac:dyDescent="0.35">
      <c r="A230" s="289" t="s">
        <v>511</v>
      </c>
      <c r="B230" s="289"/>
      <c r="C230" s="198" t="s">
        <v>512</v>
      </c>
      <c r="D230" s="153">
        <f>D223</f>
        <v>0</v>
      </c>
      <c r="E230" s="193" t="s">
        <v>271</v>
      </c>
      <c r="F230" s="344" t="str">
        <f>IF(D230&gt;4,"Does not meet design criteia","")</f>
        <v/>
      </c>
      <c r="G230" s="344"/>
      <c r="H230" s="344"/>
    </row>
    <row r="231" spans="1:8" x14ac:dyDescent="0.35">
      <c r="A231" s="334" t="s">
        <v>513</v>
      </c>
      <c r="B231" s="334"/>
      <c r="C231" s="217" t="s">
        <v>514</v>
      </c>
      <c r="D231" s="22" t="e">
        <f>ROUNDUP(D228/(D229*D230),0)</f>
        <v>#VALUE!</v>
      </c>
      <c r="E231" s="144" t="s">
        <v>316</v>
      </c>
      <c r="F231" s="387"/>
      <c r="G231" s="388"/>
      <c r="H231" s="389"/>
    </row>
    <row r="232" spans="1:8" x14ac:dyDescent="0.35">
      <c r="A232" s="334" t="s">
        <v>515</v>
      </c>
      <c r="B232" s="334"/>
      <c r="C232" s="217" t="s">
        <v>514</v>
      </c>
      <c r="D232" s="218"/>
      <c r="E232" s="144" t="s">
        <v>316</v>
      </c>
      <c r="F232" s="387" t="str">
        <f>IF(D232="","",IF(D232&lt;D231,"Does not meet design critiera",""))</f>
        <v/>
      </c>
      <c r="G232" s="388"/>
      <c r="H232" s="389"/>
    </row>
    <row r="233" spans="1:8" ht="13" x14ac:dyDescent="0.35">
      <c r="A233" s="412" t="s">
        <v>372</v>
      </c>
      <c r="B233" s="412"/>
      <c r="C233" s="412"/>
      <c r="D233" s="412"/>
      <c r="E233" s="412"/>
      <c r="F233" s="412"/>
      <c r="G233" s="412"/>
      <c r="H233" s="412"/>
    </row>
    <row r="234" spans="1:8" ht="13" x14ac:dyDescent="0.35">
      <c r="A234" s="335" t="s">
        <v>241</v>
      </c>
      <c r="B234" s="335"/>
      <c r="C234" s="9" t="str">
        <f>IF(A212="","",IF(D216="Yes",0,IF(D214&lt;0.5,0,IF(D217="Yes",0,IF(D219&lt;2,0,IF(D220&lt;2,0,IF(AND(D214&lt;=10,D221&lt;(F212*0.25)),0,IF(AND(D214&gt;10,D221&lt;(F212*0.5)),0,IF(D222&lt;4,0,IF(D223&gt;4,0,IF(D224="No",0,IF(D232&lt;D231,0,IF(AND(D218="Yes",D219&lt;4),0,F212*1)))))))))))))</f>
        <v/>
      </c>
      <c r="D234" s="339" t="s">
        <v>2</v>
      </c>
      <c r="E234" s="340"/>
      <c r="F234" s="340"/>
      <c r="G234" s="340"/>
      <c r="H234" s="341"/>
    </row>
    <row r="235" spans="1:8" ht="13" x14ac:dyDescent="0.35">
      <c r="A235" s="16" t="s">
        <v>56</v>
      </c>
      <c r="B235" s="225" t="str">
        <f>IF('STEP 2-WQv Calculation'!$B$4="","",'STEP 2-WQv Calculation'!$B$4)</f>
        <v/>
      </c>
    </row>
    <row r="236" spans="1:8" ht="13" x14ac:dyDescent="0.35">
      <c r="A236" s="236" t="s">
        <v>293</v>
      </c>
      <c r="B236" s="237"/>
      <c r="C236" s="237"/>
      <c r="D236" s="237"/>
      <c r="E236" s="237"/>
      <c r="F236" s="237"/>
      <c r="G236" s="237"/>
      <c r="H236" s="238"/>
    </row>
    <row r="237" spans="1:8" ht="38.5" x14ac:dyDescent="0.35">
      <c r="A237" s="204" t="s">
        <v>60</v>
      </c>
      <c r="B237" s="205" t="s">
        <v>61</v>
      </c>
      <c r="C237" s="205" t="s">
        <v>62</v>
      </c>
      <c r="D237" s="205" t="s">
        <v>63</v>
      </c>
      <c r="E237" s="205" t="s">
        <v>64</v>
      </c>
      <c r="F237" s="205" t="s">
        <v>65</v>
      </c>
      <c r="G237" s="205" t="s">
        <v>244</v>
      </c>
      <c r="H237" s="206" t="s">
        <v>13</v>
      </c>
    </row>
    <row r="238" spans="1:8" x14ac:dyDescent="0.35">
      <c r="A238" s="218"/>
      <c r="B238" s="3" t="str">
        <f>IF($A238="","",(LOOKUP($A238,'STEP 2-WQv Calculation'!$A$8:$A$37,'STEP 2-WQv Calculation'!$B$8:$B$37)))</f>
        <v/>
      </c>
      <c r="C238" s="3" t="str">
        <f>IF($A238="","",(LOOKUP($A238,'STEP 2-WQv Calculation'!$A$8:$A$37,'STEP 2-WQv Calculation'!$C$8:$C$37)))</f>
        <v/>
      </c>
      <c r="D238" s="212" t="str">
        <f>IF($A238="","",(LOOKUP($A238,'STEP 2-WQv Calculation'!$A$8:$A$37,'STEP 2-WQv Calculation'!$D$8:$D$37)))</f>
        <v/>
      </c>
      <c r="E238" s="3" t="str">
        <f>IF($A238="","",(LOOKUP($A238,'STEP 2-WQv Calculation'!$A$8:$A$37,'STEP 2-WQv Calculation'!$E$8:$E$37)))</f>
        <v/>
      </c>
      <c r="F238" s="217" t="str">
        <f>IF($A238="","",(LOOKUP($A238,'STEP 2-WQv Calculation'!$A$8:$A$37,'STEP 2-WQv Calculation'!$F$8:$F$37)))</f>
        <v/>
      </c>
      <c r="G238" s="22">
        <f>'STEP 2-WQv Calculation'!B135</f>
        <v>0</v>
      </c>
      <c r="H238" s="198" t="str">
        <f>IF($A238="","",(LOOKUP($A238,'STEP 2-WQv Calculation'!$A$8:$A$37,'STEP 2-WQv Calculation'!$G$8:$G$37)))</f>
        <v/>
      </c>
    </row>
    <row r="239" spans="1:8" ht="13" x14ac:dyDescent="0.35">
      <c r="A239" s="409" t="s">
        <v>226</v>
      </c>
      <c r="B239" s="410"/>
      <c r="C239" s="410"/>
      <c r="D239" s="410"/>
      <c r="E239" s="410"/>
      <c r="F239" s="410"/>
      <c r="G239" s="410"/>
      <c r="H239" s="411"/>
    </row>
    <row r="240" spans="1:8" x14ac:dyDescent="0.35">
      <c r="A240" s="242" t="s">
        <v>295</v>
      </c>
      <c r="B240" s="243"/>
      <c r="C240" s="244"/>
      <c r="D240" s="44"/>
      <c r="E240" s="322" t="str">
        <f>IF(D240="","",IF(D240&lt;0.5,"Does not meet design criteria",""))</f>
        <v/>
      </c>
      <c r="F240" s="323"/>
      <c r="G240" s="323"/>
      <c r="H240" s="324"/>
    </row>
    <row r="241" spans="1:8" x14ac:dyDescent="0.35">
      <c r="A241" s="242" t="s">
        <v>717</v>
      </c>
      <c r="B241" s="243"/>
      <c r="C241" s="244"/>
      <c r="D241" s="211"/>
      <c r="E241" s="322" t="str">
        <f>IF(D241="Yes","Two treatment practices in series required. Refer to Section 6.3.1","")</f>
        <v/>
      </c>
      <c r="F241" s="323"/>
      <c r="G241" s="323"/>
      <c r="H241" s="324"/>
    </row>
    <row r="242" spans="1:8" x14ac:dyDescent="0.35">
      <c r="A242" s="242" t="s">
        <v>718</v>
      </c>
      <c r="B242" s="243"/>
      <c r="C242" s="244"/>
      <c r="D242" s="211"/>
      <c r="E242" s="322" t="str">
        <f>IF(D242="","See Section 4.14 of the Design Manual",IF(D242="Yes","Does not meet design criteria",""))</f>
        <v>See Section 4.14 of the Design Manual</v>
      </c>
      <c r="F242" s="323"/>
      <c r="G242" s="323"/>
      <c r="H242" s="324"/>
    </row>
    <row r="243" spans="1:8" x14ac:dyDescent="0.35">
      <c r="A243" s="242" t="s">
        <v>506</v>
      </c>
      <c r="B243" s="243"/>
      <c r="C243" s="244"/>
      <c r="D243" s="135" t="str">
        <f>IF(B238="","",IF(B238&gt;5,"Yes","No"))</f>
        <v/>
      </c>
      <c r="E243" s="322" t="str">
        <f>IF(D243="Yes","Does not meet design criteria","")</f>
        <v/>
      </c>
      <c r="F243" s="323"/>
      <c r="G243" s="323"/>
      <c r="H243" s="324"/>
    </row>
    <row r="244" spans="1:8" ht="14.5" x14ac:dyDescent="0.35">
      <c r="A244" s="242" t="s">
        <v>703</v>
      </c>
      <c r="B244" s="406"/>
      <c r="C244" s="407"/>
      <c r="D244" s="43"/>
      <c r="E244" s="322"/>
      <c r="F244" s="406"/>
      <c r="G244" s="406"/>
      <c r="H244" s="407"/>
    </row>
    <row r="245" spans="1:8" x14ac:dyDescent="0.35">
      <c r="A245" s="242" t="s">
        <v>296</v>
      </c>
      <c r="B245" s="243"/>
      <c r="C245" s="244"/>
      <c r="D245" s="43"/>
      <c r="E245" s="322" t="str">
        <f>IF(OR(AND(D244="Yes",D245&lt;4),AND(D244="No",D245&lt;2)),"Does not meet design criteria","")</f>
        <v/>
      </c>
      <c r="F245" s="323"/>
      <c r="G245" s="323"/>
      <c r="H245" s="324"/>
    </row>
    <row r="246" spans="1:8" x14ac:dyDescent="0.35">
      <c r="A246" s="242" t="s">
        <v>297</v>
      </c>
      <c r="B246" s="243"/>
      <c r="C246" s="244"/>
      <c r="D246" s="43"/>
      <c r="E246" s="322" t="str">
        <f>IF(D246="","",IF(D246&lt;2,"Does not meet design criteria",""))</f>
        <v/>
      </c>
      <c r="F246" s="323"/>
      <c r="G246" s="323"/>
      <c r="H246" s="324"/>
    </row>
    <row r="247" spans="1:8" x14ac:dyDescent="0.35">
      <c r="A247" s="242" t="s">
        <v>507</v>
      </c>
      <c r="B247" s="243"/>
      <c r="C247" s="244"/>
      <c r="D247" s="43"/>
      <c r="E247" s="322" t="str">
        <f>IF(D247="","",IF(AND(D240&lt;=10,D247&lt;(F238*0.25)),"Does not meet design criteria",IF(AND(D240&gt;10,D247&lt;(F238*0.5)),"Does not meet design criteria","")))</f>
        <v/>
      </c>
      <c r="F247" s="323"/>
      <c r="G247" s="323"/>
      <c r="H247" s="324"/>
    </row>
    <row r="248" spans="1:8" x14ac:dyDescent="0.35">
      <c r="A248" s="242" t="s">
        <v>508</v>
      </c>
      <c r="B248" s="243"/>
      <c r="C248" s="244"/>
      <c r="D248" s="43"/>
      <c r="E248" s="322" t="str">
        <f>IF(D248="","",IF(D248&lt;4,"Does not meet design criteria",""))</f>
        <v/>
      </c>
      <c r="F248" s="323"/>
      <c r="G248" s="323"/>
      <c r="H248" s="324"/>
    </row>
    <row r="249" spans="1:8" x14ac:dyDescent="0.35">
      <c r="A249" s="242" t="s">
        <v>509</v>
      </c>
      <c r="B249" s="243"/>
      <c r="C249" s="244"/>
      <c r="D249" s="43"/>
      <c r="E249" s="322" t="str">
        <f>IF(D249&gt;4,"Does not meet design criteia","")</f>
        <v/>
      </c>
      <c r="F249" s="323"/>
      <c r="G249" s="323"/>
      <c r="H249" s="324"/>
    </row>
    <row r="250" spans="1:8" x14ac:dyDescent="0.35">
      <c r="A250" s="242" t="s">
        <v>510</v>
      </c>
      <c r="B250" s="243"/>
      <c r="C250" s="244"/>
      <c r="D250" s="211"/>
      <c r="E250" s="322" t="str">
        <f>IF(D250="No","Does not meet design criteria","")</f>
        <v/>
      </c>
      <c r="F250" s="323"/>
      <c r="G250" s="323"/>
      <c r="H250" s="324"/>
    </row>
    <row r="251" spans="1:8" ht="14.5" x14ac:dyDescent="0.35">
      <c r="A251" s="242" t="s">
        <v>704</v>
      </c>
      <c r="B251" s="406"/>
      <c r="C251" s="407"/>
      <c r="D251" s="43"/>
      <c r="E251" s="322" t="str">
        <f>IF(D251&lt;=15,"","A slope stability analysis is required.")</f>
        <v/>
      </c>
      <c r="F251" s="406"/>
      <c r="G251" s="406"/>
      <c r="H251" s="407"/>
    </row>
    <row r="252" spans="1:8" ht="13" x14ac:dyDescent="0.35">
      <c r="A252" s="409" t="s">
        <v>232</v>
      </c>
      <c r="B252" s="410"/>
      <c r="C252" s="410"/>
      <c r="D252" s="410"/>
      <c r="E252" s="410"/>
      <c r="F252" s="410"/>
      <c r="G252" s="410"/>
      <c r="H252" s="411"/>
    </row>
    <row r="253" spans="1:8" x14ac:dyDescent="0.35">
      <c r="A253" s="378"/>
      <c r="B253" s="379"/>
      <c r="C253" s="380"/>
      <c r="D253" s="222" t="s">
        <v>256</v>
      </c>
      <c r="E253" s="208" t="s">
        <v>257</v>
      </c>
      <c r="F253" s="375" t="s">
        <v>258</v>
      </c>
      <c r="G253" s="376"/>
      <c r="H253" s="377"/>
    </row>
    <row r="254" spans="1:8" x14ac:dyDescent="0.35">
      <c r="A254" s="289" t="s">
        <v>302</v>
      </c>
      <c r="B254" s="289"/>
      <c r="C254" s="198" t="s">
        <v>303</v>
      </c>
      <c r="D254" s="212" t="str">
        <f>F238</f>
        <v/>
      </c>
      <c r="E254" s="193" t="s">
        <v>2</v>
      </c>
      <c r="F254" s="344"/>
      <c r="G254" s="344"/>
      <c r="H254" s="344"/>
    </row>
    <row r="255" spans="1:8" x14ac:dyDescent="0.35">
      <c r="A255" s="289" t="s">
        <v>405</v>
      </c>
      <c r="B255" s="289"/>
      <c r="C255" s="198" t="s">
        <v>268</v>
      </c>
      <c r="D255" s="3">
        <v>0.4</v>
      </c>
      <c r="E255" s="193"/>
      <c r="F255" s="322"/>
      <c r="G255" s="323"/>
      <c r="H255" s="324"/>
    </row>
    <row r="256" spans="1:8" x14ac:dyDescent="0.35">
      <c r="A256" s="289" t="s">
        <v>511</v>
      </c>
      <c r="B256" s="289"/>
      <c r="C256" s="198" t="s">
        <v>512</v>
      </c>
      <c r="D256" s="153">
        <f>D249</f>
        <v>0</v>
      </c>
      <c r="E256" s="193" t="s">
        <v>271</v>
      </c>
      <c r="F256" s="344" t="str">
        <f>IF(D256&gt;4,"Does not meet design criteia","")</f>
        <v/>
      </c>
      <c r="G256" s="344"/>
      <c r="H256" s="344"/>
    </row>
    <row r="257" spans="1:8" x14ac:dyDescent="0.35">
      <c r="A257" s="334" t="s">
        <v>513</v>
      </c>
      <c r="B257" s="334"/>
      <c r="C257" s="217" t="s">
        <v>514</v>
      </c>
      <c r="D257" s="22" t="e">
        <f>ROUNDUP(D254/(D255*D256),0)</f>
        <v>#VALUE!</v>
      </c>
      <c r="E257" s="144" t="s">
        <v>316</v>
      </c>
      <c r="F257" s="387"/>
      <c r="G257" s="388"/>
      <c r="H257" s="389"/>
    </row>
    <row r="258" spans="1:8" x14ac:dyDescent="0.35">
      <c r="A258" s="334" t="s">
        <v>515</v>
      </c>
      <c r="B258" s="334"/>
      <c r="C258" s="217" t="s">
        <v>514</v>
      </c>
      <c r="D258" s="218"/>
      <c r="E258" s="144" t="s">
        <v>316</v>
      </c>
      <c r="F258" s="387" t="str">
        <f>IF(D258="","",IF(D258&lt;D257,"Does not meet design critiera",""))</f>
        <v/>
      </c>
      <c r="G258" s="388"/>
      <c r="H258" s="389"/>
    </row>
    <row r="259" spans="1:8" ht="13" x14ac:dyDescent="0.35">
      <c r="A259" s="412" t="s">
        <v>372</v>
      </c>
      <c r="B259" s="412"/>
      <c r="C259" s="412"/>
      <c r="D259" s="412"/>
      <c r="E259" s="412"/>
      <c r="F259" s="412"/>
      <c r="G259" s="412"/>
      <c r="H259" s="412"/>
    </row>
    <row r="260" spans="1:8" ht="13" x14ac:dyDescent="0.35">
      <c r="A260" s="335" t="s">
        <v>241</v>
      </c>
      <c r="B260" s="335"/>
      <c r="C260" s="9" t="str">
        <f>IF(A238="","",IF(D242="Yes",0,IF(D240&lt;0.5,0,IF(D243="Yes",0,IF(D245&lt;2,0,IF(D246&lt;2,0,IF(AND(D240&lt;=10,D247&lt;(F238*0.25)),0,IF(AND(D240&gt;10,D247&lt;(F238*0.5)),0,IF(D248&lt;4,0,IF(D249&gt;4,0,IF(D250="No",0,IF(D258&lt;D257,0,IF(AND(D244="Yes",D245&lt;4),0,F238*1)))))))))))))</f>
        <v/>
      </c>
      <c r="D260" s="339" t="s">
        <v>2</v>
      </c>
      <c r="E260" s="340"/>
      <c r="F260" s="340"/>
      <c r="G260" s="340"/>
      <c r="H260" s="341"/>
    </row>
  </sheetData>
  <sheetProtection algorithmName="SHA-512" hashValue="I+e3BJcsHxYpyUqnVDhF1yAGt3wwJSYruv360fTnuilq0xiMHmpEByAxCrGHvtSg4vnKqTtEd/CO0uncpB2NcQ==" saltValue="Z/nJRusGdiB08RnLCFLF4A==" spinCount="100000" sheet="1" formatColumns="0" formatRows="0"/>
  <mergeCells count="424">
    <mergeCell ref="A256:B256"/>
    <mergeCell ref="F256:H256"/>
    <mergeCell ref="A257:B257"/>
    <mergeCell ref="F257:H257"/>
    <mergeCell ref="A258:B258"/>
    <mergeCell ref="F258:H258"/>
    <mergeCell ref="A259:H259"/>
    <mergeCell ref="A260:B260"/>
    <mergeCell ref="D260:H260"/>
    <mergeCell ref="A251:C251"/>
    <mergeCell ref="E251:H251"/>
    <mergeCell ref="A252:H252"/>
    <mergeCell ref="A253:C253"/>
    <mergeCell ref="F253:H253"/>
    <mergeCell ref="A254:B254"/>
    <mergeCell ref="F254:H254"/>
    <mergeCell ref="A255:B255"/>
    <mergeCell ref="F255:H255"/>
    <mergeCell ref="A246:C246"/>
    <mergeCell ref="E246:H246"/>
    <mergeCell ref="A247:C247"/>
    <mergeCell ref="E247:H247"/>
    <mergeCell ref="A248:C248"/>
    <mergeCell ref="E248:H248"/>
    <mergeCell ref="A249:C249"/>
    <mergeCell ref="E249:H249"/>
    <mergeCell ref="A250:C250"/>
    <mergeCell ref="E250:H250"/>
    <mergeCell ref="A241:C241"/>
    <mergeCell ref="E241:H241"/>
    <mergeCell ref="A242:C242"/>
    <mergeCell ref="E242:H242"/>
    <mergeCell ref="A243:C243"/>
    <mergeCell ref="E243:H243"/>
    <mergeCell ref="A244:C244"/>
    <mergeCell ref="E244:H244"/>
    <mergeCell ref="A245:C245"/>
    <mergeCell ref="E245:H245"/>
    <mergeCell ref="A232:B232"/>
    <mergeCell ref="F232:H232"/>
    <mergeCell ref="A233:H233"/>
    <mergeCell ref="A234:B234"/>
    <mergeCell ref="D234:H234"/>
    <mergeCell ref="A236:H236"/>
    <mergeCell ref="A239:H239"/>
    <mergeCell ref="A240:C240"/>
    <mergeCell ref="E240:H240"/>
    <mergeCell ref="A227:C227"/>
    <mergeCell ref="F227:H227"/>
    <mergeCell ref="A228:B228"/>
    <mergeCell ref="F228:H228"/>
    <mergeCell ref="A229:B229"/>
    <mergeCell ref="F229:H229"/>
    <mergeCell ref="A230:B230"/>
    <mergeCell ref="F230:H230"/>
    <mergeCell ref="A231:B231"/>
    <mergeCell ref="F231:H231"/>
    <mergeCell ref="A222:C222"/>
    <mergeCell ref="E222:H222"/>
    <mergeCell ref="A223:C223"/>
    <mergeCell ref="E223:H223"/>
    <mergeCell ref="A224:C224"/>
    <mergeCell ref="E224:H224"/>
    <mergeCell ref="A225:C225"/>
    <mergeCell ref="E225:H225"/>
    <mergeCell ref="A226:H226"/>
    <mergeCell ref="A217:C217"/>
    <mergeCell ref="E217:H217"/>
    <mergeCell ref="A218:C218"/>
    <mergeCell ref="E218:H218"/>
    <mergeCell ref="A219:C219"/>
    <mergeCell ref="E219:H219"/>
    <mergeCell ref="A220:C220"/>
    <mergeCell ref="E220:H220"/>
    <mergeCell ref="A221:C221"/>
    <mergeCell ref="E221:H221"/>
    <mergeCell ref="A208:B208"/>
    <mergeCell ref="D208:H208"/>
    <mergeCell ref="A210:H210"/>
    <mergeCell ref="A213:H213"/>
    <mergeCell ref="A214:C214"/>
    <mergeCell ref="E214:H214"/>
    <mergeCell ref="A215:C215"/>
    <mergeCell ref="E215:H215"/>
    <mergeCell ref="A216:C216"/>
    <mergeCell ref="E216:H216"/>
    <mergeCell ref="A203:B203"/>
    <mergeCell ref="F203:H203"/>
    <mergeCell ref="A204:B204"/>
    <mergeCell ref="F204:H204"/>
    <mergeCell ref="A205:B205"/>
    <mergeCell ref="F205:H205"/>
    <mergeCell ref="A206:B206"/>
    <mergeCell ref="F206:H206"/>
    <mergeCell ref="A207:H207"/>
    <mergeCell ref="A198:C198"/>
    <mergeCell ref="E198:H198"/>
    <mergeCell ref="A199:C199"/>
    <mergeCell ref="E199:H199"/>
    <mergeCell ref="A200:H200"/>
    <mergeCell ref="A201:C201"/>
    <mergeCell ref="F201:H201"/>
    <mergeCell ref="A202:B202"/>
    <mergeCell ref="F202:H202"/>
    <mergeCell ref="A193:C193"/>
    <mergeCell ref="E193:H193"/>
    <mergeCell ref="A194:C194"/>
    <mergeCell ref="E194:H194"/>
    <mergeCell ref="A195:C195"/>
    <mergeCell ref="E195:H195"/>
    <mergeCell ref="A196:C196"/>
    <mergeCell ref="E196:H196"/>
    <mergeCell ref="A197:C197"/>
    <mergeCell ref="E197:H197"/>
    <mergeCell ref="A188:C188"/>
    <mergeCell ref="E188:H188"/>
    <mergeCell ref="A189:C189"/>
    <mergeCell ref="E189:H189"/>
    <mergeCell ref="A190:C190"/>
    <mergeCell ref="E190:H190"/>
    <mergeCell ref="A191:C191"/>
    <mergeCell ref="E191:H191"/>
    <mergeCell ref="A192:C192"/>
    <mergeCell ref="E192:H192"/>
    <mergeCell ref="A179:B179"/>
    <mergeCell ref="F179:H179"/>
    <mergeCell ref="A180:B180"/>
    <mergeCell ref="F180:H180"/>
    <mergeCell ref="A181:H181"/>
    <mergeCell ref="A182:B182"/>
    <mergeCell ref="D182:H182"/>
    <mergeCell ref="A184:H184"/>
    <mergeCell ref="A187:H187"/>
    <mergeCell ref="A174:H174"/>
    <mergeCell ref="A175:C175"/>
    <mergeCell ref="F175:H175"/>
    <mergeCell ref="A176:B176"/>
    <mergeCell ref="F176:H176"/>
    <mergeCell ref="A177:B177"/>
    <mergeCell ref="F177:H177"/>
    <mergeCell ref="A178:B178"/>
    <mergeCell ref="F178:H178"/>
    <mergeCell ref="A169:C169"/>
    <mergeCell ref="E169:H169"/>
    <mergeCell ref="A170:C170"/>
    <mergeCell ref="E170:H170"/>
    <mergeCell ref="A171:C171"/>
    <mergeCell ref="E171:H171"/>
    <mergeCell ref="A172:C172"/>
    <mergeCell ref="E172:H172"/>
    <mergeCell ref="A173:C173"/>
    <mergeCell ref="E173:H173"/>
    <mergeCell ref="A164:C164"/>
    <mergeCell ref="E164:H164"/>
    <mergeCell ref="A165:C165"/>
    <mergeCell ref="E165:H165"/>
    <mergeCell ref="A166:C166"/>
    <mergeCell ref="E166:H166"/>
    <mergeCell ref="A167:C167"/>
    <mergeCell ref="E167:H167"/>
    <mergeCell ref="A168:C168"/>
    <mergeCell ref="E168:H168"/>
    <mergeCell ref="A155:H155"/>
    <mergeCell ref="A156:B156"/>
    <mergeCell ref="D156:H156"/>
    <mergeCell ref="A158:H158"/>
    <mergeCell ref="A161:H161"/>
    <mergeCell ref="A162:C162"/>
    <mergeCell ref="E162:H162"/>
    <mergeCell ref="A163:C163"/>
    <mergeCell ref="E163:H163"/>
    <mergeCell ref="A150:B150"/>
    <mergeCell ref="F150:H150"/>
    <mergeCell ref="A151:B151"/>
    <mergeCell ref="F151:H151"/>
    <mergeCell ref="A152:B152"/>
    <mergeCell ref="F152:H152"/>
    <mergeCell ref="A153:B153"/>
    <mergeCell ref="F153:H153"/>
    <mergeCell ref="A154:B154"/>
    <mergeCell ref="F154:H154"/>
    <mergeCell ref="A145:C145"/>
    <mergeCell ref="E145:H145"/>
    <mergeCell ref="A146:C146"/>
    <mergeCell ref="E146:H146"/>
    <mergeCell ref="A147:C147"/>
    <mergeCell ref="E147:H147"/>
    <mergeCell ref="A148:H148"/>
    <mergeCell ref="A149:C149"/>
    <mergeCell ref="F149:H149"/>
    <mergeCell ref="A140:C140"/>
    <mergeCell ref="E140:H140"/>
    <mergeCell ref="A141:C141"/>
    <mergeCell ref="E141:H141"/>
    <mergeCell ref="A142:C142"/>
    <mergeCell ref="E142:H142"/>
    <mergeCell ref="A143:C143"/>
    <mergeCell ref="E143:H143"/>
    <mergeCell ref="A144:C144"/>
    <mergeCell ref="E144:H144"/>
    <mergeCell ref="A132:H132"/>
    <mergeCell ref="A135:H135"/>
    <mergeCell ref="A136:C136"/>
    <mergeCell ref="E136:H136"/>
    <mergeCell ref="A137:C137"/>
    <mergeCell ref="E137:H137"/>
    <mergeCell ref="A138:C138"/>
    <mergeCell ref="E138:H138"/>
    <mergeCell ref="A139:C139"/>
    <mergeCell ref="E139:H139"/>
    <mergeCell ref="A121:C121"/>
    <mergeCell ref="E121:H121"/>
    <mergeCell ref="A36:C36"/>
    <mergeCell ref="E36:H36"/>
    <mergeCell ref="A62:C62"/>
    <mergeCell ref="E62:H62"/>
    <mergeCell ref="A88:C88"/>
    <mergeCell ref="E88:H88"/>
    <mergeCell ref="A43:C43"/>
    <mergeCell ref="E43:H43"/>
    <mergeCell ref="A69:C69"/>
    <mergeCell ref="E69:H69"/>
    <mergeCell ref="A112:C112"/>
    <mergeCell ref="E112:H112"/>
    <mergeCell ref="A109:H109"/>
    <mergeCell ref="A110:C110"/>
    <mergeCell ref="E110:H110"/>
    <mergeCell ref="A111:C111"/>
    <mergeCell ref="E111:H111"/>
    <mergeCell ref="A104:B104"/>
    <mergeCell ref="D104:H104"/>
    <mergeCell ref="A106:H106"/>
    <mergeCell ref="A117:C117"/>
    <mergeCell ref="E117:H117"/>
    <mergeCell ref="E10:H10"/>
    <mergeCell ref="A10:C10"/>
    <mergeCell ref="A101:B101"/>
    <mergeCell ref="F101:H101"/>
    <mergeCell ref="A102:B102"/>
    <mergeCell ref="F102:H102"/>
    <mergeCell ref="A103:H103"/>
    <mergeCell ref="A98:B98"/>
    <mergeCell ref="F98:H98"/>
    <mergeCell ref="A99:B99"/>
    <mergeCell ref="F99:H99"/>
    <mergeCell ref="A100:B100"/>
    <mergeCell ref="F100:H100"/>
    <mergeCell ref="A94:C94"/>
    <mergeCell ref="E94:H94"/>
    <mergeCell ref="A96:H96"/>
    <mergeCell ref="A97:C97"/>
    <mergeCell ref="F97:H97"/>
    <mergeCell ref="A92:C92"/>
    <mergeCell ref="E92:H92"/>
    <mergeCell ref="A93:C93"/>
    <mergeCell ref="E93:H93"/>
    <mergeCell ref="A95:C95"/>
    <mergeCell ref="E95:H95"/>
    <mergeCell ref="I3:N3"/>
    <mergeCell ref="I2:N2"/>
    <mergeCell ref="I4:N4"/>
    <mergeCell ref="A130:B130"/>
    <mergeCell ref="D130:H130"/>
    <mergeCell ref="I5:N5"/>
    <mergeCell ref="A127:B127"/>
    <mergeCell ref="F127:H127"/>
    <mergeCell ref="A128:B128"/>
    <mergeCell ref="F128:H128"/>
    <mergeCell ref="A129:H129"/>
    <mergeCell ref="A124:B124"/>
    <mergeCell ref="F124:H124"/>
    <mergeCell ref="A125:B125"/>
    <mergeCell ref="F125:H125"/>
    <mergeCell ref="A126:B126"/>
    <mergeCell ref="F126:H126"/>
    <mergeCell ref="A120:C120"/>
    <mergeCell ref="E120:H120"/>
    <mergeCell ref="A122:H122"/>
    <mergeCell ref="A123:C123"/>
    <mergeCell ref="F123:H123"/>
    <mergeCell ref="A8:C8"/>
    <mergeCell ref="E8:H8"/>
    <mergeCell ref="A118:C118"/>
    <mergeCell ref="E118:H118"/>
    <mergeCell ref="A119:C119"/>
    <mergeCell ref="E119:H119"/>
    <mergeCell ref="A113:C113"/>
    <mergeCell ref="E113:H113"/>
    <mergeCell ref="A115:C115"/>
    <mergeCell ref="E115:H115"/>
    <mergeCell ref="A116:C116"/>
    <mergeCell ref="E116:H116"/>
    <mergeCell ref="A114:C114"/>
    <mergeCell ref="E114:H114"/>
    <mergeCell ref="A78:B78"/>
    <mergeCell ref="D78:H78"/>
    <mergeCell ref="A80:H80"/>
    <mergeCell ref="A91:C91"/>
    <mergeCell ref="E91:H91"/>
    <mergeCell ref="A75:B75"/>
    <mergeCell ref="F75:H75"/>
    <mergeCell ref="A76:B76"/>
    <mergeCell ref="F76:H76"/>
    <mergeCell ref="A77:H77"/>
    <mergeCell ref="A87:C87"/>
    <mergeCell ref="E87:H87"/>
    <mergeCell ref="A89:C89"/>
    <mergeCell ref="E89:H89"/>
    <mergeCell ref="A90:C90"/>
    <mergeCell ref="E90:H90"/>
    <mergeCell ref="A83:H83"/>
    <mergeCell ref="A84:C84"/>
    <mergeCell ref="E84:H84"/>
    <mergeCell ref="A85:C85"/>
    <mergeCell ref="E85:H85"/>
    <mergeCell ref="A86:C86"/>
    <mergeCell ref="E86:H86"/>
    <mergeCell ref="A72:B72"/>
    <mergeCell ref="F72:H72"/>
    <mergeCell ref="A73:B73"/>
    <mergeCell ref="F73:H73"/>
    <mergeCell ref="A74:B74"/>
    <mergeCell ref="F74:H74"/>
    <mergeCell ref="A68:C68"/>
    <mergeCell ref="E68:H68"/>
    <mergeCell ref="A70:H70"/>
    <mergeCell ref="A71:C71"/>
    <mergeCell ref="F71:H71"/>
    <mergeCell ref="A51:H51"/>
    <mergeCell ref="A65:C65"/>
    <mergeCell ref="E65:H65"/>
    <mergeCell ref="A66:C66"/>
    <mergeCell ref="E66:H66"/>
    <mergeCell ref="A67:C67"/>
    <mergeCell ref="E67:H67"/>
    <mergeCell ref="A63:C63"/>
    <mergeCell ref="E63:H63"/>
    <mergeCell ref="A64:C64"/>
    <mergeCell ref="E64:H64"/>
    <mergeCell ref="A61:C61"/>
    <mergeCell ref="E61:H61"/>
    <mergeCell ref="A57:H57"/>
    <mergeCell ref="A58:C58"/>
    <mergeCell ref="E58:H58"/>
    <mergeCell ref="A59:C59"/>
    <mergeCell ref="E59:H59"/>
    <mergeCell ref="A52:B52"/>
    <mergeCell ref="D52:H52"/>
    <mergeCell ref="A54:H54"/>
    <mergeCell ref="A60:C60"/>
    <mergeCell ref="E60:H60"/>
    <mergeCell ref="A49:B49"/>
    <mergeCell ref="F49:H49"/>
    <mergeCell ref="A50:B50"/>
    <mergeCell ref="A39:C39"/>
    <mergeCell ref="E39:H39"/>
    <mergeCell ref="A40:C40"/>
    <mergeCell ref="E40:H40"/>
    <mergeCell ref="A41:C41"/>
    <mergeCell ref="E41:H41"/>
    <mergeCell ref="A46:B46"/>
    <mergeCell ref="F46:H46"/>
    <mergeCell ref="A47:B47"/>
    <mergeCell ref="F47:H47"/>
    <mergeCell ref="A48:B48"/>
    <mergeCell ref="F48:H48"/>
    <mergeCell ref="A42:C42"/>
    <mergeCell ref="E42:H42"/>
    <mergeCell ref="A44:H44"/>
    <mergeCell ref="A45:C45"/>
    <mergeCell ref="F45:H45"/>
    <mergeCell ref="F50:H50"/>
    <mergeCell ref="A35:C35"/>
    <mergeCell ref="E35:H35"/>
    <mergeCell ref="A37:C37"/>
    <mergeCell ref="E37:H37"/>
    <mergeCell ref="A38:C38"/>
    <mergeCell ref="E38:H38"/>
    <mergeCell ref="A28:H28"/>
    <mergeCell ref="A31:H31"/>
    <mergeCell ref="A32:C32"/>
    <mergeCell ref="E32:H32"/>
    <mergeCell ref="A33:C33"/>
    <mergeCell ref="E33:H33"/>
    <mergeCell ref="A34:C34"/>
    <mergeCell ref="E34:H34"/>
    <mergeCell ref="E13:H13"/>
    <mergeCell ref="A13:C13"/>
    <mergeCell ref="A23:B23"/>
    <mergeCell ref="F23:H23"/>
    <mergeCell ref="A18:H18"/>
    <mergeCell ref="F20:H20"/>
    <mergeCell ref="A14:C14"/>
    <mergeCell ref="E14:H14"/>
    <mergeCell ref="A15:C15"/>
    <mergeCell ref="E15:H15"/>
    <mergeCell ref="A16:C16"/>
    <mergeCell ref="E16:H16"/>
    <mergeCell ref="A17:C17"/>
    <mergeCell ref="E17:H17"/>
    <mergeCell ref="A2:H2"/>
    <mergeCell ref="A5:H5"/>
    <mergeCell ref="A25:H25"/>
    <mergeCell ref="A26:B26"/>
    <mergeCell ref="A12:C12"/>
    <mergeCell ref="A11:C11"/>
    <mergeCell ref="A20:B20"/>
    <mergeCell ref="A24:B24"/>
    <mergeCell ref="A7:C7"/>
    <mergeCell ref="A6:C6"/>
    <mergeCell ref="E6:H6"/>
    <mergeCell ref="E7:H7"/>
    <mergeCell ref="E11:H11"/>
    <mergeCell ref="E12:H12"/>
    <mergeCell ref="D26:H26"/>
    <mergeCell ref="A19:C19"/>
    <mergeCell ref="F19:H19"/>
    <mergeCell ref="F24:H24"/>
    <mergeCell ref="A21:B21"/>
    <mergeCell ref="F21:H21"/>
    <mergeCell ref="A22:B22"/>
    <mergeCell ref="F22:H22"/>
    <mergeCell ref="A9:C9"/>
    <mergeCell ref="E9:H9"/>
  </mergeCells>
  <dataValidations disablePrompts="1" count="3">
    <dataValidation type="list" showInputMessage="1" showErrorMessage="1" promptTitle="Choose Area" sqref="A30 A82 A4 A56 A108 A134 A160 A186 A212 A238" xr:uid="{00000000-0002-0000-1300-000000000000}">
      <formula1>CatchNo</formula1>
    </dataValidation>
    <dataValidation type="list" showInputMessage="1" showErrorMessage="1" promptTitle="Yes or No?" sqref="D68 D10 D114 D42 D59:D60 D16 D120 D33:D34 D94 D85:D86 D36 D62 D88 D7:D8 D111:D112 D140 D146 D137:D138 D166 D172 D163:D164 D192 D198 D189:D190 D218 D224 D215:D216 D244 D250 D241:D242" xr:uid="{4F20653B-E3AC-4009-A2D4-54DD6FFC4860}">
      <formula1>YesNo</formula1>
    </dataValidation>
    <dataValidation type="decimal" operator="greaterThan" allowBlank="1" showInputMessage="1" showErrorMessage="1" sqref="D110 D115:D119 D128 D121 D32 D37:D41 D43 D50 D58 D63:D67 D69 D76 D84 D89:D93 D95 D102 D11:D15 D17 D6 D24 D136 D141:D145 D154 D147 D162 D167:D171 D180 D173 D188 D193:D197 D206 D199 D214 D219:D223 D232 D225 D240 D245:D249 D258 D251" xr:uid="{80A6CDD2-414E-4B3C-A36E-74988AC4310C}">
      <formula1>0</formula1>
    </dataValidation>
  </dataValidations>
  <pageMargins left="0.5" right="0.5" top="0.75" bottom="0.5" header="0.3" footer="0.3"/>
  <pageSetup paperSize="278" orientation="portrait" r:id="rId1"/>
  <headerFooter>
    <oddHeader>&amp;C&amp;"Arial,Regular"&amp;18Infiltration Trench (I-1)</oddHeader>
  </headerFooter>
  <rowBreaks count="10" manualBreakCount="10">
    <brk id="26" max="16383" man="1"/>
    <brk id="52" max="16383" man="1"/>
    <brk id="78" max="16383" man="1"/>
    <brk id="104" max="16383" man="1"/>
    <brk id="130" max="16383" man="1"/>
    <brk id="156" max="16383" man="1"/>
    <brk id="182" max="16383" man="1"/>
    <brk id="208" max="16383" man="1"/>
    <brk id="234" max="16383" man="1"/>
    <brk id="26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B4E23-14BB-412B-B4F1-A186993F0DAF}">
  <dimension ref="A1:P270"/>
  <sheetViews>
    <sheetView view="pageLayout" zoomScaleNormal="100" workbookViewId="0">
      <selection activeCell="N8" sqref="N8"/>
    </sheetView>
  </sheetViews>
  <sheetFormatPr defaultColWidth="9.1796875" defaultRowHeight="12.5" x14ac:dyDescent="0.35"/>
  <cols>
    <col min="1" max="2" width="12.7265625" style="12" customWidth="1"/>
    <col min="3" max="3" width="11.453125" style="12" customWidth="1"/>
    <col min="4" max="4" width="10.7265625" style="12" customWidth="1"/>
    <col min="5" max="5" width="6.453125" style="12" customWidth="1"/>
    <col min="6" max="6" width="8.54296875" style="12" customWidth="1"/>
    <col min="7" max="7" width="12.1796875" style="12" customWidth="1"/>
    <col min="8" max="8" width="15.26953125" style="12" customWidth="1"/>
    <col min="9" max="9" width="9.1796875" style="12"/>
    <col min="10" max="13" width="9.1796875" style="12" hidden="1" customWidth="1"/>
    <col min="14" max="16384" width="9.1796875" style="12"/>
  </cols>
  <sheetData>
    <row r="1" spans="1:16" ht="15" customHeight="1" x14ac:dyDescent="0.35">
      <c r="A1" s="16" t="s">
        <v>56</v>
      </c>
      <c r="B1" s="225" t="str">
        <f>IF('STEP 2-WQv Calculation'!$B$4="","",'STEP 2-WQv Calculation'!$B$4)</f>
        <v/>
      </c>
    </row>
    <row r="2" spans="1:16" ht="13" x14ac:dyDescent="0.35">
      <c r="A2" s="236" t="s">
        <v>293</v>
      </c>
      <c r="B2" s="237"/>
      <c r="C2" s="237"/>
      <c r="D2" s="237"/>
      <c r="E2" s="237"/>
      <c r="F2" s="237"/>
      <c r="G2" s="237"/>
      <c r="H2" s="238"/>
      <c r="I2" s="255" t="s">
        <v>219</v>
      </c>
      <c r="J2" s="256"/>
      <c r="K2" s="256"/>
      <c r="L2" s="256"/>
      <c r="M2" s="256"/>
      <c r="N2" s="256"/>
      <c r="O2" s="49">
        <f>SUM(B4,B31,B58,B85,B112,B139,B166,B193,B220,B247)</f>
        <v>0</v>
      </c>
      <c r="P2" s="12" t="s">
        <v>223</v>
      </c>
    </row>
    <row r="3" spans="1:16" ht="46.75" customHeight="1" x14ac:dyDescent="0.35">
      <c r="A3" s="204" t="s">
        <v>60</v>
      </c>
      <c r="B3" s="205" t="s">
        <v>61</v>
      </c>
      <c r="C3" s="205" t="s">
        <v>62</v>
      </c>
      <c r="D3" s="205" t="s">
        <v>63</v>
      </c>
      <c r="E3" s="205" t="s">
        <v>64</v>
      </c>
      <c r="F3" s="205" t="s">
        <v>65</v>
      </c>
      <c r="G3" s="205" t="s">
        <v>244</v>
      </c>
      <c r="H3" s="206" t="s">
        <v>13</v>
      </c>
      <c r="I3" s="255" t="s">
        <v>245</v>
      </c>
      <c r="J3" s="256"/>
      <c r="K3" s="256"/>
      <c r="L3" s="256"/>
      <c r="M3" s="256"/>
      <c r="N3" s="256"/>
      <c r="O3" s="21">
        <f>SUM(C4,C31,C58,C85,C112,C139,C166,C193,C220,C247)</f>
        <v>0</v>
      </c>
      <c r="P3" s="12" t="s">
        <v>223</v>
      </c>
    </row>
    <row r="4" spans="1:16"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c r="I4" s="255" t="s">
        <v>227</v>
      </c>
      <c r="J4" s="256"/>
      <c r="K4" s="256"/>
      <c r="L4" s="256"/>
      <c r="M4" s="256"/>
      <c r="N4" s="256"/>
      <c r="O4" s="28">
        <f>SUM(C27,C54,C81,C108,C135,C162,C189,C216,C243,C270)</f>
        <v>0</v>
      </c>
      <c r="P4" s="12" t="s">
        <v>2</v>
      </c>
    </row>
    <row r="5" spans="1:16" ht="15" customHeight="1" x14ac:dyDescent="0.35">
      <c r="A5" s="409" t="s">
        <v>226</v>
      </c>
      <c r="B5" s="410"/>
      <c r="C5" s="410"/>
      <c r="D5" s="410"/>
      <c r="E5" s="410"/>
      <c r="F5" s="410"/>
      <c r="G5" s="410"/>
      <c r="H5" s="411"/>
      <c r="I5" s="413" t="s">
        <v>447</v>
      </c>
      <c r="J5" s="414"/>
      <c r="K5" s="414"/>
      <c r="L5" s="414"/>
      <c r="M5" s="414"/>
      <c r="N5" s="414"/>
      <c r="O5" s="28">
        <v>0</v>
      </c>
      <c r="P5" s="12" t="s">
        <v>2</v>
      </c>
    </row>
    <row r="6" spans="1:16" s="1" customFormat="1" ht="30" customHeight="1" x14ac:dyDescent="0.35">
      <c r="A6" s="242" t="s">
        <v>295</v>
      </c>
      <c r="B6" s="243"/>
      <c r="C6" s="244"/>
      <c r="D6" s="44"/>
      <c r="E6" s="322" t="str">
        <f>IF(D6="","",IF(D6&lt;0.5,"Does not meet design criteria",""))</f>
        <v/>
      </c>
      <c r="F6" s="323"/>
      <c r="G6" s="323"/>
      <c r="H6" s="324"/>
      <c r="I6" s="4"/>
    </row>
    <row r="7" spans="1:16" s="1" customFormat="1" ht="26.5" customHeight="1" x14ac:dyDescent="0.35">
      <c r="A7" s="242" t="s">
        <v>717</v>
      </c>
      <c r="B7" s="243"/>
      <c r="C7" s="244"/>
      <c r="D7" s="211"/>
      <c r="E7" s="322" t="str">
        <f>IF(D7="Yes","Two treatment practices in series required. Refer to Section 6.3.1","")</f>
        <v/>
      </c>
      <c r="F7" s="323"/>
      <c r="G7" s="323"/>
      <c r="H7" s="324"/>
      <c r="I7" s="4"/>
    </row>
    <row r="8" spans="1:16" s="1" customFormat="1" ht="26.5" customHeight="1" x14ac:dyDescent="0.35">
      <c r="A8" s="242" t="s">
        <v>718</v>
      </c>
      <c r="B8" s="243"/>
      <c r="C8" s="244"/>
      <c r="D8" s="211"/>
      <c r="E8" s="322" t="str">
        <f>IF(D8="","See Section 4.14 of the Design Manual",IF(D8="Yes","Does not meet design criteria",""))</f>
        <v>See Section 4.14 of the Design Manual</v>
      </c>
      <c r="F8" s="323"/>
      <c r="G8" s="323"/>
      <c r="H8" s="324"/>
      <c r="I8" s="4"/>
    </row>
    <row r="9" spans="1:16" s="1" customFormat="1" ht="13.9" customHeight="1" x14ac:dyDescent="0.35">
      <c r="A9" s="242" t="s">
        <v>516</v>
      </c>
      <c r="B9" s="243"/>
      <c r="C9" s="244"/>
      <c r="D9" s="227">
        <f>IF(D6&lt;0.5,0,IF(AND(D6&gt;5,D6&lt;=10,C4&lt;=15),25,IF(AND(D6&gt;10,C4&lt;=20),50,IF(C4&gt;20,0,IF(D6&gt;=0.5,10,IF(D6&lt;=5,10,IF(C4&lt;=10,10)))))))</f>
        <v>0</v>
      </c>
      <c r="E9" s="322"/>
      <c r="F9" s="323"/>
      <c r="G9" s="323"/>
      <c r="H9" s="324"/>
      <c r="I9" s="4"/>
    </row>
    <row r="10" spans="1:16" s="1" customFormat="1" ht="27.65" customHeight="1" x14ac:dyDescent="0.35">
      <c r="A10" s="242" t="s">
        <v>517</v>
      </c>
      <c r="B10" s="243"/>
      <c r="C10" s="244"/>
      <c r="D10" s="135" t="str">
        <f>IF(B4="","",IF(B4&gt;D9,"Yes","No"))</f>
        <v/>
      </c>
      <c r="E10" s="322" t="str">
        <f>IF(D10="","",IF(D10="Yes","Does not meet design criteria",""))</f>
        <v/>
      </c>
      <c r="F10" s="323"/>
      <c r="G10" s="323"/>
      <c r="H10" s="324"/>
      <c r="I10" s="4"/>
    </row>
    <row r="11" spans="1:16" s="1" customFormat="1" ht="27.65" customHeight="1" x14ac:dyDescent="0.35">
      <c r="A11" s="242" t="s">
        <v>703</v>
      </c>
      <c r="B11" s="406"/>
      <c r="C11" s="407"/>
      <c r="D11" s="43"/>
      <c r="E11" s="322"/>
      <c r="F11" s="406"/>
      <c r="G11" s="406"/>
      <c r="H11" s="407"/>
      <c r="I11" s="4"/>
    </row>
    <row r="12" spans="1:16" s="1" customFormat="1" ht="13.9" customHeight="1" x14ac:dyDescent="0.35">
      <c r="A12" s="242" t="s">
        <v>296</v>
      </c>
      <c r="B12" s="243"/>
      <c r="C12" s="244"/>
      <c r="D12" s="43"/>
      <c r="E12" s="322" t="str">
        <f>IF(OR(AND(D11="Yes",D12&lt;4),AND(D11="No",D12&lt;2)),"Does not meet design criteria","")</f>
        <v/>
      </c>
      <c r="F12" s="323"/>
      <c r="G12" s="323"/>
      <c r="H12" s="324"/>
      <c r="I12" s="4"/>
    </row>
    <row r="13" spans="1:16" s="1" customFormat="1" ht="13.9" customHeight="1" x14ac:dyDescent="0.35">
      <c r="A13" s="242" t="s">
        <v>297</v>
      </c>
      <c r="B13" s="243"/>
      <c r="C13" s="244"/>
      <c r="D13" s="43"/>
      <c r="E13" s="322" t="str">
        <f>IF(D13="","",IF(D13&lt;2,"Does not meet design criteria",""))</f>
        <v/>
      </c>
      <c r="F13" s="323"/>
      <c r="G13" s="323"/>
      <c r="H13" s="324"/>
      <c r="I13" s="4"/>
    </row>
    <row r="14" spans="1:16" s="1" customFormat="1" ht="13.9" customHeight="1" x14ac:dyDescent="0.35">
      <c r="A14" s="242" t="s">
        <v>507</v>
      </c>
      <c r="B14" s="243"/>
      <c r="C14" s="244"/>
      <c r="D14" s="43"/>
      <c r="E14" s="322" t="str">
        <f>IF(D14="","",IF(AND(D6&lt;=10,D14&lt;(F4*0.25)),"Does not meet design criteria",IF(AND(D6&gt;10,D14&lt;(F4*0.5)),"Does not meet design criteria","")))</f>
        <v/>
      </c>
      <c r="F14" s="323"/>
      <c r="G14" s="323"/>
      <c r="H14" s="324"/>
      <c r="I14" s="4"/>
    </row>
    <row r="15" spans="1:16" s="1" customFormat="1" ht="13.9" customHeight="1" x14ac:dyDescent="0.35">
      <c r="A15" s="242" t="s">
        <v>518</v>
      </c>
      <c r="B15" s="243"/>
      <c r="C15" s="244"/>
      <c r="D15" s="43"/>
      <c r="E15" s="322" t="str">
        <f>IF(D15="","",IF(D15&lt;1,"Does not meet design criteria",""))</f>
        <v/>
      </c>
      <c r="F15" s="323"/>
      <c r="G15" s="323"/>
      <c r="H15" s="324"/>
      <c r="I15" s="4"/>
    </row>
    <row r="16" spans="1:16" s="1" customFormat="1" ht="13.9" customHeight="1" x14ac:dyDescent="0.35">
      <c r="A16" s="242" t="s">
        <v>519</v>
      </c>
      <c r="B16" s="243"/>
      <c r="C16" s="244"/>
      <c r="D16" s="43"/>
      <c r="E16" s="322" t="str">
        <f>IF(D16&gt;6,"Does not meet design criteria","")</f>
        <v/>
      </c>
      <c r="F16" s="323"/>
      <c r="G16" s="323"/>
      <c r="H16" s="324"/>
      <c r="I16" s="4"/>
    </row>
    <row r="17" spans="1:16" s="1" customFormat="1" ht="13.9" customHeight="1" x14ac:dyDescent="0.35">
      <c r="A17" s="242" t="s">
        <v>705</v>
      </c>
      <c r="B17" s="406"/>
      <c r="C17" s="407"/>
      <c r="D17" s="43"/>
      <c r="E17" s="322" t="str">
        <f>IF(D17="","",IF(D17&lt;3,"Does not meet design criteria",""))</f>
        <v/>
      </c>
      <c r="F17" s="406"/>
      <c r="G17" s="406"/>
      <c r="H17" s="407"/>
      <c r="I17" s="4"/>
    </row>
    <row r="18" spans="1:16" s="1" customFormat="1" ht="13.9" customHeight="1" x14ac:dyDescent="0.35">
      <c r="A18" s="242" t="s">
        <v>520</v>
      </c>
      <c r="B18" s="243"/>
      <c r="C18" s="244"/>
      <c r="D18" s="43"/>
      <c r="E18" s="322" t="str">
        <f>IF(D18&gt;15,"Does not meet design criteria","")</f>
        <v/>
      </c>
      <c r="F18" s="323"/>
      <c r="G18" s="323"/>
      <c r="H18" s="324"/>
      <c r="I18" s="4"/>
    </row>
    <row r="19" spans="1:16" s="1" customFormat="1" ht="13.9" customHeight="1" x14ac:dyDescent="0.35">
      <c r="A19" s="242" t="s">
        <v>521</v>
      </c>
      <c r="B19" s="243"/>
      <c r="C19" s="244"/>
      <c r="D19" s="43"/>
      <c r="E19" s="322" t="str">
        <f>IF(D19="","",IF(D19&lt;12,"Does not meet design criteria",""))</f>
        <v/>
      </c>
      <c r="F19" s="323"/>
      <c r="G19" s="323"/>
      <c r="H19" s="324"/>
      <c r="I19" s="4"/>
    </row>
    <row r="20" spans="1:16" ht="13" x14ac:dyDescent="0.35">
      <c r="A20" s="409" t="s">
        <v>232</v>
      </c>
      <c r="B20" s="410"/>
      <c r="C20" s="410"/>
      <c r="D20" s="410"/>
      <c r="E20" s="410"/>
      <c r="F20" s="410"/>
      <c r="G20" s="410"/>
      <c r="H20" s="411"/>
    </row>
    <row r="21" spans="1:16" s="34" customFormat="1" ht="15" customHeight="1" x14ac:dyDescent="0.3">
      <c r="A21" s="378"/>
      <c r="B21" s="379"/>
      <c r="C21" s="380"/>
      <c r="D21" s="222" t="s">
        <v>256</v>
      </c>
      <c r="E21" s="208" t="s">
        <v>257</v>
      </c>
      <c r="F21" s="375" t="s">
        <v>258</v>
      </c>
      <c r="G21" s="376"/>
      <c r="H21" s="377"/>
      <c r="I21" s="4"/>
      <c r="J21" s="4"/>
      <c r="K21" s="4"/>
      <c r="L21" s="4"/>
      <c r="M21" s="4"/>
      <c r="N21" s="4"/>
      <c r="O21" s="4"/>
      <c r="P21" s="4"/>
    </row>
    <row r="22" spans="1:16" ht="15" customHeight="1" x14ac:dyDescent="0.35">
      <c r="A22" s="289" t="s">
        <v>302</v>
      </c>
      <c r="B22" s="289"/>
      <c r="C22" s="198" t="s">
        <v>303</v>
      </c>
      <c r="D22" s="212" t="str">
        <f>F4</f>
        <v/>
      </c>
      <c r="E22" s="193" t="s">
        <v>2</v>
      </c>
      <c r="F22" s="344"/>
      <c r="G22" s="344"/>
      <c r="H22" s="344"/>
    </row>
    <row r="23" spans="1:16" ht="15" customHeight="1" x14ac:dyDescent="0.35">
      <c r="A23" s="289" t="s">
        <v>522</v>
      </c>
      <c r="B23" s="289"/>
      <c r="C23" s="198" t="s">
        <v>523</v>
      </c>
      <c r="D23" s="153">
        <f>D16</f>
        <v>0</v>
      </c>
      <c r="E23" s="193" t="s">
        <v>271</v>
      </c>
      <c r="F23" s="344" t="str">
        <f>IF(D23&gt;6,"Does not meet design criteria","")</f>
        <v/>
      </c>
      <c r="G23" s="344"/>
      <c r="H23" s="344"/>
    </row>
    <row r="24" spans="1:16" ht="15" customHeight="1" x14ac:dyDescent="0.35">
      <c r="A24" s="334" t="s">
        <v>719</v>
      </c>
      <c r="B24" s="334"/>
      <c r="C24" s="217" t="s">
        <v>524</v>
      </c>
      <c r="D24" s="217" t="e">
        <f>ROUND(D22/D23,0)</f>
        <v>#VALUE!</v>
      </c>
      <c r="E24" s="144" t="s">
        <v>316</v>
      </c>
      <c r="F24" s="387"/>
      <c r="G24" s="388"/>
      <c r="H24" s="389"/>
    </row>
    <row r="25" spans="1:16" ht="15" customHeight="1" x14ac:dyDescent="0.35">
      <c r="A25" s="334" t="s">
        <v>720</v>
      </c>
      <c r="B25" s="334"/>
      <c r="C25" s="217" t="s">
        <v>524</v>
      </c>
      <c r="D25" s="218"/>
      <c r="E25" s="144" t="s">
        <v>316</v>
      </c>
      <c r="F25" s="387" t="str">
        <f>IF(D25="","",IF(D25&lt;D24,"Does not meet design criteria",IF(D25&lt;D23,"Does not meet design criteria","")))</f>
        <v/>
      </c>
      <c r="G25" s="388"/>
      <c r="H25" s="389"/>
    </row>
    <row r="26" spans="1:16" ht="15" customHeight="1" x14ac:dyDescent="0.35">
      <c r="A26" s="412" t="s">
        <v>372</v>
      </c>
      <c r="B26" s="412"/>
      <c r="C26" s="412"/>
      <c r="D26" s="412"/>
      <c r="E26" s="412"/>
      <c r="F26" s="412"/>
      <c r="G26" s="412"/>
      <c r="H26" s="412"/>
    </row>
    <row r="27" spans="1:16" ht="15" customHeight="1" x14ac:dyDescent="0.35">
      <c r="A27" s="335" t="s">
        <v>241</v>
      </c>
      <c r="B27" s="335"/>
      <c r="C27" s="9" t="str">
        <f>IF(A4="","",IF(D8="Yes",0,IF(D6&lt;0.5,0,IF(D10="Yes",0,IF(D12&lt;2,0,IF(D13&lt;2,0,IF(AND(D6&lt;=10,D14&lt;(F4*0.25)),0,IF(AND(D6&gt;10,D14&lt;(F4*0.5)),0,IF(D15&lt;1,0,IF(D16&gt;6,0,IF(D18&gt;15,0,IF(D19&lt;12,0,IF(D25&lt;D24,0,F4*1)))))))))))))</f>
        <v/>
      </c>
      <c r="D27" s="339" t="s">
        <v>2</v>
      </c>
      <c r="E27" s="340"/>
      <c r="F27" s="340"/>
      <c r="G27" s="340"/>
      <c r="H27" s="341"/>
    </row>
    <row r="28" spans="1:16" ht="13" x14ac:dyDescent="0.35">
      <c r="A28" s="16" t="s">
        <v>56</v>
      </c>
      <c r="B28" s="225" t="str">
        <f>IF('STEP 2-WQv Calculation'!$B$4="","",'STEP 2-WQv Calculation'!$B$4)</f>
        <v/>
      </c>
    </row>
    <row r="29" spans="1:16" ht="13" x14ac:dyDescent="0.35">
      <c r="A29" s="236" t="s">
        <v>293</v>
      </c>
      <c r="B29" s="237"/>
      <c r="C29" s="237"/>
      <c r="D29" s="237"/>
      <c r="E29" s="237"/>
      <c r="F29" s="237"/>
      <c r="G29" s="237"/>
      <c r="H29" s="238"/>
    </row>
    <row r="30" spans="1:16" ht="38.5" x14ac:dyDescent="0.35">
      <c r="A30" s="204" t="s">
        <v>60</v>
      </c>
      <c r="B30" s="205" t="s">
        <v>61</v>
      </c>
      <c r="C30" s="205" t="s">
        <v>62</v>
      </c>
      <c r="D30" s="205" t="s">
        <v>63</v>
      </c>
      <c r="E30" s="205" t="s">
        <v>64</v>
      </c>
      <c r="F30" s="205" t="s">
        <v>65</v>
      </c>
      <c r="G30" s="205" t="s">
        <v>244</v>
      </c>
      <c r="H30" s="206" t="s">
        <v>13</v>
      </c>
    </row>
    <row r="31" spans="1:16" x14ac:dyDescent="0.35">
      <c r="A31" s="218"/>
      <c r="B31" s="3" t="str">
        <f>IF($A31="","",(LOOKUP($A31,'STEP 2-WQv Calculation'!$A$8:$A$37,'STEP 2-WQv Calculation'!$B$8:$B$37)))</f>
        <v/>
      </c>
      <c r="C31" s="3" t="str">
        <f>IF($A31="","",(LOOKUP($A31,'STEP 2-WQv Calculation'!$A$8:$A$37,'STEP 2-WQv Calculation'!$C$8:$C$37)))</f>
        <v/>
      </c>
      <c r="D31" s="212" t="str">
        <f>IF($A31="","",(LOOKUP($A31,'STEP 2-WQv Calculation'!$A$8:$A$37,'STEP 2-WQv Calculation'!$D$8:$D$37)))</f>
        <v/>
      </c>
      <c r="E31" s="3" t="str">
        <f>IF($A31="","",(LOOKUP($A31,'STEP 2-WQv Calculation'!$A$8:$A$37,'STEP 2-WQv Calculation'!$E$8:$E$37)))</f>
        <v/>
      </c>
      <c r="F31" s="217" t="str">
        <f>IF($A31="","",(LOOKUP($A31,'STEP 2-WQv Calculation'!$A$8:$A$37,'STEP 2-WQv Calculation'!$F$8:$F$37)))</f>
        <v/>
      </c>
      <c r="G31" s="22">
        <f>'STEP 2-WQv Calculation'!B5</f>
        <v>0</v>
      </c>
      <c r="H31" s="198" t="str">
        <f>IF($A31="","",(LOOKUP($A31,'STEP 2-WQv Calculation'!$A$8:$A$37,'STEP 2-WQv Calculation'!$G$8:$G$37)))</f>
        <v/>
      </c>
    </row>
    <row r="32" spans="1:16" ht="13" x14ac:dyDescent="0.35">
      <c r="A32" s="409" t="s">
        <v>226</v>
      </c>
      <c r="B32" s="410"/>
      <c r="C32" s="410"/>
      <c r="D32" s="410"/>
      <c r="E32" s="410"/>
      <c r="F32" s="410"/>
      <c r="G32" s="410"/>
      <c r="H32" s="411"/>
    </row>
    <row r="33" spans="1:9" ht="28.9" customHeight="1" x14ac:dyDescent="0.35">
      <c r="A33" s="242" t="s">
        <v>295</v>
      </c>
      <c r="B33" s="243"/>
      <c r="C33" s="244"/>
      <c r="D33" s="44"/>
      <c r="E33" s="322" t="str">
        <f>IF(D33="","",IF(D33&lt;0.5,"Does not meet design criteria",""))</f>
        <v/>
      </c>
      <c r="F33" s="323"/>
      <c r="G33" s="323"/>
      <c r="H33" s="324"/>
    </row>
    <row r="34" spans="1:9" ht="30.25" customHeight="1" x14ac:dyDescent="0.35">
      <c r="A34" s="242" t="s">
        <v>717</v>
      </c>
      <c r="B34" s="243"/>
      <c r="C34" s="244"/>
      <c r="D34" s="211"/>
      <c r="E34" s="322" t="str">
        <f>IF(D34="Yes","Two treatment practices in series required. Refer to Section 6.3.1","")</f>
        <v/>
      </c>
      <c r="F34" s="323"/>
      <c r="G34" s="323"/>
      <c r="H34" s="324"/>
    </row>
    <row r="35" spans="1:9" s="1" customFormat="1" ht="26.5" customHeight="1" x14ac:dyDescent="0.35">
      <c r="A35" s="242" t="s">
        <v>718</v>
      </c>
      <c r="B35" s="243"/>
      <c r="C35" s="244"/>
      <c r="D35" s="211"/>
      <c r="E35" s="322" t="str">
        <f>IF(D35="","See Section 4.14 of the Design Manual",IF(D35="Yes","Does not meet design criteria",""))</f>
        <v>See Section 4.14 of the Design Manual</v>
      </c>
      <c r="F35" s="323"/>
      <c r="G35" s="323"/>
      <c r="H35" s="324"/>
      <c r="I35" s="4"/>
    </row>
    <row r="36" spans="1:9" ht="15" customHeight="1" x14ac:dyDescent="0.35">
      <c r="A36" s="242" t="s">
        <v>516</v>
      </c>
      <c r="B36" s="243"/>
      <c r="C36" s="244"/>
      <c r="D36" s="227">
        <f>IF(D33&lt;0.5,0,IF(AND(D33&gt;5,D33&lt;=10,C31&lt;=15),25,IF(AND(D33&gt;10,C31&lt;=20),50,IF(C31&gt;20,0,IF(D33&gt;=0.5,10,IF(D33&lt;=5,10,IF(C31&lt;=10,10)))))))</f>
        <v>0</v>
      </c>
      <c r="E36" s="322"/>
      <c r="F36" s="323"/>
      <c r="G36" s="323"/>
      <c r="H36" s="324"/>
    </row>
    <row r="37" spans="1:9" ht="28.9" customHeight="1" x14ac:dyDescent="0.35">
      <c r="A37" s="242" t="s">
        <v>517</v>
      </c>
      <c r="B37" s="243"/>
      <c r="C37" s="244"/>
      <c r="D37" s="135" t="str">
        <f>IF(B31="","",IF(B31&gt;D36,"Yes","No"))</f>
        <v/>
      </c>
      <c r="E37" s="322" t="str">
        <f>IF(D37="","",IF(D37="Yes","Does not meet design criteria",""))</f>
        <v/>
      </c>
      <c r="F37" s="323"/>
      <c r="G37" s="323"/>
      <c r="H37" s="324"/>
    </row>
    <row r="38" spans="1:9" ht="28.9" customHeight="1" x14ac:dyDescent="0.35">
      <c r="A38" s="242" t="s">
        <v>703</v>
      </c>
      <c r="B38" s="406"/>
      <c r="C38" s="407"/>
      <c r="D38" s="43"/>
      <c r="E38" s="322"/>
      <c r="F38" s="406"/>
      <c r="G38" s="406"/>
      <c r="H38" s="407"/>
    </row>
    <row r="39" spans="1:9" ht="15" customHeight="1" x14ac:dyDescent="0.35">
      <c r="A39" s="242" t="s">
        <v>296</v>
      </c>
      <c r="B39" s="243"/>
      <c r="C39" s="244"/>
      <c r="D39" s="43"/>
      <c r="E39" s="322" t="str">
        <f>IF(OR(AND(D38="Yes",D39&lt;4),AND(D38="No",D39&lt;2)),"Does not meet design criteria","")</f>
        <v/>
      </c>
      <c r="F39" s="323"/>
      <c r="G39" s="323"/>
      <c r="H39" s="324"/>
    </row>
    <row r="40" spans="1:9" ht="15" customHeight="1" x14ac:dyDescent="0.35">
      <c r="A40" s="242" t="s">
        <v>297</v>
      </c>
      <c r="B40" s="243"/>
      <c r="C40" s="244"/>
      <c r="D40" s="43"/>
      <c r="E40" s="322" t="str">
        <f>IF(D40="","",IF(D40&lt;2,"Does not meet design criteria",""))</f>
        <v/>
      </c>
      <c r="F40" s="323"/>
      <c r="G40" s="323"/>
      <c r="H40" s="324"/>
    </row>
    <row r="41" spans="1:9" ht="15" customHeight="1" x14ac:dyDescent="0.35">
      <c r="A41" s="242" t="s">
        <v>507</v>
      </c>
      <c r="B41" s="243"/>
      <c r="C41" s="244"/>
      <c r="D41" s="43"/>
      <c r="E41" s="322" t="str">
        <f>IF(D41="","",IF(AND(D33&lt;=10,D41&lt;(F31*0.25)),"Does not meet design criteria",IF(AND(D33&gt;10,D41&lt;(F31*0.5)),"Does not meet design criteria","")))</f>
        <v/>
      </c>
      <c r="F41" s="323"/>
      <c r="G41" s="323"/>
      <c r="H41" s="324"/>
    </row>
    <row r="42" spans="1:9" x14ac:dyDescent="0.35">
      <c r="A42" s="242" t="s">
        <v>518</v>
      </c>
      <c r="B42" s="243"/>
      <c r="C42" s="244"/>
      <c r="D42" s="43"/>
      <c r="E42" s="322" t="str">
        <f>IF(D42="","",IF(D42&lt;1,"Does not meet design criteria",""))</f>
        <v/>
      </c>
      <c r="F42" s="323"/>
      <c r="G42" s="323"/>
      <c r="H42" s="324"/>
    </row>
    <row r="43" spans="1:9" ht="15" customHeight="1" x14ac:dyDescent="0.35">
      <c r="A43" s="242" t="s">
        <v>519</v>
      </c>
      <c r="B43" s="243"/>
      <c r="C43" s="244"/>
      <c r="D43" s="43"/>
      <c r="E43" s="322" t="str">
        <f>IF(D43&gt;6,"Does not meet design criteria","")</f>
        <v/>
      </c>
      <c r="F43" s="323"/>
      <c r="G43" s="323"/>
      <c r="H43" s="324"/>
    </row>
    <row r="44" spans="1:9" ht="15" customHeight="1" x14ac:dyDescent="0.35">
      <c r="A44" s="242" t="s">
        <v>705</v>
      </c>
      <c r="B44" s="406"/>
      <c r="C44" s="407"/>
      <c r="D44" s="43"/>
      <c r="E44" s="322" t="str">
        <f>IF(D44="","",IF(D44&lt;3,"Does not meet design criteria",""))</f>
        <v/>
      </c>
      <c r="F44" s="406"/>
      <c r="G44" s="406"/>
      <c r="H44" s="407"/>
    </row>
    <row r="45" spans="1:9" ht="15" customHeight="1" x14ac:dyDescent="0.35">
      <c r="A45" s="242" t="s">
        <v>520</v>
      </c>
      <c r="B45" s="243"/>
      <c r="C45" s="244"/>
      <c r="D45" s="43"/>
      <c r="E45" s="322" t="str">
        <f>IF(D45&gt;15,"Does not meet design criteria","")</f>
        <v/>
      </c>
      <c r="F45" s="323"/>
      <c r="G45" s="323"/>
      <c r="H45" s="324"/>
    </row>
    <row r="46" spans="1:9" x14ac:dyDescent="0.35">
      <c r="A46" s="242" t="s">
        <v>521</v>
      </c>
      <c r="B46" s="243"/>
      <c r="C46" s="244"/>
      <c r="D46" s="43"/>
      <c r="E46" s="322" t="str">
        <f>IF(D46="","",IF(D46&lt;12,"Does not meet design criteria",""))</f>
        <v/>
      </c>
      <c r="F46" s="323"/>
      <c r="G46" s="323"/>
      <c r="H46" s="324"/>
    </row>
    <row r="47" spans="1:9" ht="15" customHeight="1" x14ac:dyDescent="0.35">
      <c r="A47" s="409" t="s">
        <v>232</v>
      </c>
      <c r="B47" s="410"/>
      <c r="C47" s="410"/>
      <c r="D47" s="410"/>
      <c r="E47" s="410"/>
      <c r="F47" s="410"/>
      <c r="G47" s="410"/>
      <c r="H47" s="411"/>
    </row>
    <row r="48" spans="1:9" ht="15" customHeight="1" x14ac:dyDescent="0.35">
      <c r="A48" s="378"/>
      <c r="B48" s="379"/>
      <c r="C48" s="380"/>
      <c r="D48" s="222" t="s">
        <v>256</v>
      </c>
      <c r="E48" s="208" t="s">
        <v>257</v>
      </c>
      <c r="F48" s="375" t="s">
        <v>258</v>
      </c>
      <c r="G48" s="376"/>
      <c r="H48" s="377"/>
    </row>
    <row r="49" spans="1:9" ht="15" customHeight="1" x14ac:dyDescent="0.35">
      <c r="A49" s="289" t="s">
        <v>302</v>
      </c>
      <c r="B49" s="289"/>
      <c r="C49" s="198" t="s">
        <v>303</v>
      </c>
      <c r="D49" s="212" t="str">
        <f>F31</f>
        <v/>
      </c>
      <c r="E49" s="193" t="s">
        <v>2</v>
      </c>
      <c r="F49" s="344"/>
      <c r="G49" s="344"/>
      <c r="H49" s="344"/>
    </row>
    <row r="50" spans="1:9" ht="15" customHeight="1" x14ac:dyDescent="0.35">
      <c r="A50" s="289" t="s">
        <v>522</v>
      </c>
      <c r="B50" s="289"/>
      <c r="C50" s="198" t="s">
        <v>523</v>
      </c>
      <c r="D50" s="153">
        <f>D43</f>
        <v>0</v>
      </c>
      <c r="E50" s="193" t="s">
        <v>271</v>
      </c>
      <c r="F50" s="344" t="str">
        <f>IF(D50&gt;6,"Does not meet design criteria","")</f>
        <v/>
      </c>
      <c r="G50" s="344"/>
      <c r="H50" s="344"/>
    </row>
    <row r="51" spans="1:9" ht="15" customHeight="1" x14ac:dyDescent="0.35">
      <c r="A51" s="334" t="s">
        <v>719</v>
      </c>
      <c r="B51" s="334"/>
      <c r="C51" s="217" t="s">
        <v>524</v>
      </c>
      <c r="D51" s="22" t="e">
        <f>ROUND(D49/D50,0)</f>
        <v>#VALUE!</v>
      </c>
      <c r="E51" s="144" t="s">
        <v>316</v>
      </c>
      <c r="F51" s="387"/>
      <c r="G51" s="388"/>
      <c r="H51" s="389"/>
    </row>
    <row r="52" spans="1:9" ht="15" customHeight="1" x14ac:dyDescent="0.35">
      <c r="A52" s="334" t="s">
        <v>720</v>
      </c>
      <c r="B52" s="334"/>
      <c r="C52" s="217" t="s">
        <v>524</v>
      </c>
      <c r="D52" s="218"/>
      <c r="E52" s="144" t="s">
        <v>316</v>
      </c>
      <c r="F52" s="387" t="str">
        <f>IF(D52="","",IF(D52&lt;D51,"Does not meet design criteria",IF(D52&lt;D50,"Does not meet design criteria","")))</f>
        <v/>
      </c>
      <c r="G52" s="388"/>
      <c r="H52" s="389"/>
    </row>
    <row r="53" spans="1:9" ht="15" customHeight="1" x14ac:dyDescent="0.35">
      <c r="A53" s="412" t="s">
        <v>372</v>
      </c>
      <c r="B53" s="412"/>
      <c r="C53" s="412"/>
      <c r="D53" s="412"/>
      <c r="E53" s="412"/>
      <c r="F53" s="412"/>
      <c r="G53" s="412"/>
      <c r="H53" s="412"/>
    </row>
    <row r="54" spans="1:9" ht="15" customHeight="1" x14ac:dyDescent="0.35">
      <c r="A54" s="335" t="s">
        <v>241</v>
      </c>
      <c r="B54" s="335"/>
      <c r="C54" s="9" t="str">
        <f>IF(A31="","",IF(D35="Yes",0,IF(D33&lt;0.5,0,IF(D37="Yes",0,IF(D39&lt;2,0,IF(D40&lt;2,0,IF(AND(D33&lt;=10,D41&lt;(F31*0.25)),0,IF(AND(D33&gt;10,D41&lt;(F31*0.5)),0,IF(D42&lt;1,0,IF(D43&gt;6,0,IF(D45&gt;15,0,IF(D46&lt;12,0,IF(D52&lt;D51,0,F31*1)))))))))))))</f>
        <v/>
      </c>
      <c r="D54" s="339" t="s">
        <v>2</v>
      </c>
      <c r="E54" s="340"/>
      <c r="F54" s="340"/>
      <c r="G54" s="340"/>
      <c r="H54" s="341"/>
    </row>
    <row r="55" spans="1:9" ht="13" x14ac:dyDescent="0.35">
      <c r="A55" s="16" t="s">
        <v>56</v>
      </c>
      <c r="B55" s="225" t="str">
        <f>IF('STEP 2-WQv Calculation'!$B$4="","",'STEP 2-WQv Calculation'!$B$4)</f>
        <v/>
      </c>
    </row>
    <row r="56" spans="1:9" ht="13" x14ac:dyDescent="0.35">
      <c r="A56" s="236" t="s">
        <v>293</v>
      </c>
      <c r="B56" s="237"/>
      <c r="C56" s="237"/>
      <c r="D56" s="237"/>
      <c r="E56" s="237"/>
      <c r="F56" s="237"/>
      <c r="G56" s="237"/>
      <c r="H56" s="238"/>
    </row>
    <row r="57" spans="1:9" ht="38.5" x14ac:dyDescent="0.35">
      <c r="A57" s="204" t="s">
        <v>60</v>
      </c>
      <c r="B57" s="205" t="s">
        <v>61</v>
      </c>
      <c r="C57" s="205" t="s">
        <v>62</v>
      </c>
      <c r="D57" s="205" t="s">
        <v>63</v>
      </c>
      <c r="E57" s="205" t="s">
        <v>64</v>
      </c>
      <c r="F57" s="205" t="s">
        <v>65</v>
      </c>
      <c r="G57" s="205" t="s">
        <v>244</v>
      </c>
      <c r="H57" s="206" t="s">
        <v>13</v>
      </c>
    </row>
    <row r="58" spans="1:9" x14ac:dyDescent="0.35">
      <c r="A58" s="218"/>
      <c r="B58" s="3" t="str">
        <f>IF($A58="","",(LOOKUP($A58,'STEP 2-WQv Calculation'!$A$8:$A$37,'STEP 2-WQv Calculation'!$B$8:$B$37)))</f>
        <v/>
      </c>
      <c r="C58" s="3" t="str">
        <f>IF($A58="","",(LOOKUP($A58,'STEP 2-WQv Calculation'!$A$8:$A$37,'STEP 2-WQv Calculation'!$C$8:$C$37)))</f>
        <v/>
      </c>
      <c r="D58" s="212" t="str">
        <f>IF($A58="","",(LOOKUP($A58,'STEP 2-WQv Calculation'!$A$8:$A$37,'STEP 2-WQv Calculation'!$D$8:$D$37)))</f>
        <v/>
      </c>
      <c r="E58" s="3" t="str">
        <f>IF($A58="","",(LOOKUP($A58,'STEP 2-WQv Calculation'!$A$8:$A$37,'STEP 2-WQv Calculation'!$E$8:$E$37)))</f>
        <v/>
      </c>
      <c r="F58" s="217" t="str">
        <f>IF($A58="","",(LOOKUP($A58,'STEP 2-WQv Calculation'!$A$8:$A$37,'STEP 2-WQv Calculation'!$F$8:$F$37)))</f>
        <v/>
      </c>
      <c r="G58" s="22">
        <f>'STEP 2-WQv Calculation'!B5</f>
        <v>0</v>
      </c>
      <c r="H58" s="198" t="str">
        <f>IF($A58="","",(LOOKUP($A58,'STEP 2-WQv Calculation'!$A$8:$A$37,'STEP 2-WQv Calculation'!$G$8:$G$37)))</f>
        <v/>
      </c>
    </row>
    <row r="59" spans="1:9" ht="30.25" customHeight="1" x14ac:dyDescent="0.35">
      <c r="A59" s="409" t="s">
        <v>226</v>
      </c>
      <c r="B59" s="410"/>
      <c r="C59" s="410"/>
      <c r="D59" s="410"/>
      <c r="E59" s="410"/>
      <c r="F59" s="410"/>
      <c r="G59" s="410"/>
      <c r="H59" s="411"/>
    </row>
    <row r="60" spans="1:9" ht="28.9" customHeight="1" x14ac:dyDescent="0.35">
      <c r="A60" s="242" t="s">
        <v>295</v>
      </c>
      <c r="B60" s="243"/>
      <c r="C60" s="244"/>
      <c r="D60" s="44"/>
      <c r="E60" s="322" t="str">
        <f>IF(D60="","",IF(D60&lt;0.5,"Does not meet design criteria",""))</f>
        <v/>
      </c>
      <c r="F60" s="323"/>
      <c r="G60" s="323"/>
      <c r="H60" s="324"/>
    </row>
    <row r="61" spans="1:9" ht="28.9" customHeight="1" x14ac:dyDescent="0.35">
      <c r="A61" s="242" t="s">
        <v>717</v>
      </c>
      <c r="B61" s="243"/>
      <c r="C61" s="244"/>
      <c r="D61" s="211"/>
      <c r="E61" s="322" t="str">
        <f>IF(D61="Yes","Two treatment practices in series required. Refer to Section 6.3.1","")</f>
        <v/>
      </c>
      <c r="F61" s="323"/>
      <c r="G61" s="323"/>
      <c r="H61" s="324"/>
    </row>
    <row r="62" spans="1:9" s="1" customFormat="1" ht="26.5" customHeight="1" x14ac:dyDescent="0.35">
      <c r="A62" s="242" t="s">
        <v>718</v>
      </c>
      <c r="B62" s="243"/>
      <c r="C62" s="244"/>
      <c r="D62" s="211"/>
      <c r="E62" s="322" t="str">
        <f>IF(D62="","See Section 4.14 of the Design Manual",IF(D62="Yes","Does not meet design criteria",""))</f>
        <v>See Section 4.14 of the Design Manual</v>
      </c>
      <c r="F62" s="323"/>
      <c r="G62" s="323"/>
      <c r="H62" s="324"/>
      <c r="I62" s="4"/>
    </row>
    <row r="63" spans="1:9" ht="15" customHeight="1" x14ac:dyDescent="0.35">
      <c r="A63" s="242" t="s">
        <v>516</v>
      </c>
      <c r="B63" s="243"/>
      <c r="C63" s="244"/>
      <c r="D63" s="227">
        <f>IF(D60&lt;0.5,0,IF(AND(D60&gt;5,D60&lt;=10,C58&lt;=15),25,IF(AND(D60&gt;10,C58&lt;=20),50,IF(C58&gt;20,0,IF(D60&gt;=0.5,10,IF(D60&lt;=5,10,IF(C58&lt;=10,10)))))))</f>
        <v>0</v>
      </c>
      <c r="E63" s="322"/>
      <c r="F63" s="323"/>
      <c r="G63" s="323"/>
      <c r="H63" s="324"/>
    </row>
    <row r="64" spans="1:9" ht="28.9" customHeight="1" x14ac:dyDescent="0.35">
      <c r="A64" s="242" t="s">
        <v>517</v>
      </c>
      <c r="B64" s="243"/>
      <c r="C64" s="244"/>
      <c r="D64" s="135" t="str">
        <f>IF(B58="","",IF(B58&gt;D63,"Yes","No"))</f>
        <v/>
      </c>
      <c r="E64" s="322" t="str">
        <f>IF(D64="","",IF(D64="Yes","Does not meet design criteria",""))</f>
        <v/>
      </c>
      <c r="F64" s="323"/>
      <c r="G64" s="323"/>
      <c r="H64" s="324"/>
    </row>
    <row r="65" spans="1:8" ht="28.9" customHeight="1" x14ac:dyDescent="0.35">
      <c r="A65" s="242" t="s">
        <v>703</v>
      </c>
      <c r="B65" s="406"/>
      <c r="C65" s="407"/>
      <c r="D65" s="43"/>
      <c r="E65" s="322"/>
      <c r="F65" s="406"/>
      <c r="G65" s="406"/>
      <c r="H65" s="407"/>
    </row>
    <row r="66" spans="1:8" ht="12.75" customHeight="1" x14ac:dyDescent="0.35">
      <c r="A66" s="242" t="s">
        <v>296</v>
      </c>
      <c r="B66" s="243"/>
      <c r="C66" s="244"/>
      <c r="D66" s="43"/>
      <c r="E66" s="322" t="str">
        <f>IF(OR(AND(D65="Yes",D66&lt;4),AND(D65="No",D66&lt;2)),"Does not meet design criteria","")</f>
        <v/>
      </c>
      <c r="F66" s="323"/>
      <c r="G66" s="323"/>
      <c r="H66" s="324"/>
    </row>
    <row r="67" spans="1:8" x14ac:dyDescent="0.35">
      <c r="A67" s="242" t="s">
        <v>297</v>
      </c>
      <c r="B67" s="243"/>
      <c r="C67" s="244"/>
      <c r="D67" s="43"/>
      <c r="E67" s="322" t="str">
        <f>IF(D67="","",IF(D67&lt;2,"Does not meet design criteria",""))</f>
        <v/>
      </c>
      <c r="F67" s="323"/>
      <c r="G67" s="323"/>
      <c r="H67" s="324"/>
    </row>
    <row r="68" spans="1:8" ht="15" customHeight="1" x14ac:dyDescent="0.35">
      <c r="A68" s="242" t="s">
        <v>507</v>
      </c>
      <c r="B68" s="243"/>
      <c r="C68" s="244"/>
      <c r="D68" s="43"/>
      <c r="E68" s="322" t="str">
        <f>IF(D68="","",IF(AND(D60&lt;=10,D68&lt;(F58*0.25)),"Does not meet design criteria",IF(AND(D60&gt;10,D68&lt;(F58*0.5)),"Does not meet design criteria","")))</f>
        <v/>
      </c>
      <c r="F68" s="323"/>
      <c r="G68" s="323"/>
      <c r="H68" s="324"/>
    </row>
    <row r="69" spans="1:8" ht="15" customHeight="1" x14ac:dyDescent="0.35">
      <c r="A69" s="242" t="s">
        <v>518</v>
      </c>
      <c r="B69" s="243"/>
      <c r="C69" s="244"/>
      <c r="D69" s="43"/>
      <c r="E69" s="322" t="str">
        <f>IF(D69="","",IF(D69&lt;1,"Does not meet design criteria",""))</f>
        <v/>
      </c>
      <c r="F69" s="323"/>
      <c r="G69" s="323"/>
      <c r="H69" s="324"/>
    </row>
    <row r="70" spans="1:8" ht="15" customHeight="1" x14ac:dyDescent="0.35">
      <c r="A70" s="242" t="s">
        <v>519</v>
      </c>
      <c r="B70" s="243"/>
      <c r="C70" s="244"/>
      <c r="D70" s="43"/>
      <c r="E70" s="322" t="str">
        <f>IF(D70&gt;6,"Does not meet design criteria","")</f>
        <v/>
      </c>
      <c r="F70" s="323"/>
      <c r="G70" s="323"/>
      <c r="H70" s="324"/>
    </row>
    <row r="71" spans="1:8" ht="15" customHeight="1" x14ac:dyDescent="0.35">
      <c r="A71" s="242" t="s">
        <v>705</v>
      </c>
      <c r="B71" s="406"/>
      <c r="C71" s="407"/>
      <c r="D71" s="43"/>
      <c r="E71" s="322" t="str">
        <f>IF(D71="","",IF(D71&lt;3,"Does not meet design criteria",""))</f>
        <v/>
      </c>
      <c r="F71" s="406"/>
      <c r="G71" s="406"/>
      <c r="H71" s="407"/>
    </row>
    <row r="72" spans="1:8" ht="15" customHeight="1" x14ac:dyDescent="0.35">
      <c r="A72" s="242" t="s">
        <v>520</v>
      </c>
      <c r="B72" s="243"/>
      <c r="C72" s="244"/>
      <c r="D72" s="43"/>
      <c r="E72" s="322" t="str">
        <f>IF(D72&gt;15,"Does not meet design criteria","")</f>
        <v/>
      </c>
      <c r="F72" s="323"/>
      <c r="G72" s="323"/>
      <c r="H72" s="324"/>
    </row>
    <row r="73" spans="1:8" ht="15" customHeight="1" x14ac:dyDescent="0.35">
      <c r="A73" s="242" t="s">
        <v>521</v>
      </c>
      <c r="B73" s="243"/>
      <c r="C73" s="244"/>
      <c r="D73" s="43"/>
      <c r="E73" s="322" t="str">
        <f>IF(D73="","",IF(D73&lt;12,"Does not meet design criteria",""))</f>
        <v/>
      </c>
      <c r="F73" s="323"/>
      <c r="G73" s="323"/>
      <c r="H73" s="324"/>
    </row>
    <row r="74" spans="1:8" ht="13" x14ac:dyDescent="0.35">
      <c r="A74" s="409" t="s">
        <v>232</v>
      </c>
      <c r="B74" s="410"/>
      <c r="C74" s="410"/>
      <c r="D74" s="410"/>
      <c r="E74" s="410"/>
      <c r="F74" s="410"/>
      <c r="G74" s="410"/>
      <c r="H74" s="411"/>
    </row>
    <row r="75" spans="1:8" ht="15" customHeight="1" x14ac:dyDescent="0.35">
      <c r="A75" s="378"/>
      <c r="B75" s="379"/>
      <c r="C75" s="380"/>
      <c r="D75" s="222" t="s">
        <v>256</v>
      </c>
      <c r="E75" s="208" t="s">
        <v>257</v>
      </c>
      <c r="F75" s="375" t="s">
        <v>258</v>
      </c>
      <c r="G75" s="376"/>
      <c r="H75" s="377"/>
    </row>
    <row r="76" spans="1:8" ht="15" customHeight="1" x14ac:dyDescent="0.35">
      <c r="A76" s="289" t="s">
        <v>302</v>
      </c>
      <c r="B76" s="289"/>
      <c r="C76" s="198" t="s">
        <v>303</v>
      </c>
      <c r="D76" s="212" t="str">
        <f>F58</f>
        <v/>
      </c>
      <c r="E76" s="193" t="s">
        <v>2</v>
      </c>
      <c r="F76" s="344"/>
      <c r="G76" s="344"/>
      <c r="H76" s="344"/>
    </row>
    <row r="77" spans="1:8" ht="45.25" customHeight="1" x14ac:dyDescent="0.35">
      <c r="A77" s="289" t="s">
        <v>522</v>
      </c>
      <c r="B77" s="289"/>
      <c r="C77" s="198" t="s">
        <v>523</v>
      </c>
      <c r="D77" s="153">
        <f>D70</f>
        <v>0</v>
      </c>
      <c r="E77" s="193" t="s">
        <v>271</v>
      </c>
      <c r="F77" s="344" t="str">
        <f>IF(D77&gt;6,"Does not meet design criteria","")</f>
        <v/>
      </c>
      <c r="G77" s="344"/>
      <c r="H77" s="344"/>
    </row>
    <row r="78" spans="1:8" ht="15" customHeight="1" x14ac:dyDescent="0.35">
      <c r="A78" s="334" t="s">
        <v>719</v>
      </c>
      <c r="B78" s="334"/>
      <c r="C78" s="217" t="s">
        <v>524</v>
      </c>
      <c r="D78" s="22" t="e">
        <f>ROUND(D76/D77,0)</f>
        <v>#VALUE!</v>
      </c>
      <c r="E78" s="144" t="s">
        <v>316</v>
      </c>
      <c r="F78" s="387"/>
      <c r="G78" s="388"/>
      <c r="H78" s="389"/>
    </row>
    <row r="79" spans="1:8" ht="15" customHeight="1" x14ac:dyDescent="0.35">
      <c r="A79" s="334" t="s">
        <v>720</v>
      </c>
      <c r="B79" s="334"/>
      <c r="C79" s="217" t="s">
        <v>524</v>
      </c>
      <c r="D79" s="218"/>
      <c r="E79" s="144" t="s">
        <v>316</v>
      </c>
      <c r="F79" s="387" t="str">
        <f>IF(D79="","",IF(D79&lt;D78,"Does not meet design criteria",IF(D79&lt;D77,"Does not meet design criteria","")))</f>
        <v/>
      </c>
      <c r="G79" s="388"/>
      <c r="H79" s="389"/>
    </row>
    <row r="80" spans="1:8" ht="15" customHeight="1" x14ac:dyDescent="0.35">
      <c r="A80" s="412" t="s">
        <v>372</v>
      </c>
      <c r="B80" s="412"/>
      <c r="C80" s="412"/>
      <c r="D80" s="412"/>
      <c r="E80" s="412"/>
      <c r="F80" s="412"/>
      <c r="G80" s="412"/>
      <c r="H80" s="412"/>
    </row>
    <row r="81" spans="1:9" ht="15" customHeight="1" x14ac:dyDescent="0.35">
      <c r="A81" s="335" t="s">
        <v>241</v>
      </c>
      <c r="B81" s="335"/>
      <c r="C81" s="9" t="str">
        <f>IF(A58="","",IF(D62="Yes",0,IF(D60&lt;0.5,0,IF(D64="Yes",0,IF(D66&lt;2,0,IF(D67&lt;2,0,IF(AND(D60&lt;=10,D68&lt;(F58*0.25)),0,IF(AND(D60&gt;10,D68&lt;(F58*0.5)),0,IF(D69&lt;1,0,IF(D70&gt;6,0,IF(D72&gt;15,0,IF(D73&lt;12,0,IF(D79&lt;D78,0,F58*1)))))))))))))</f>
        <v/>
      </c>
      <c r="D81" s="339" t="s">
        <v>2</v>
      </c>
      <c r="E81" s="340"/>
      <c r="F81" s="340"/>
      <c r="G81" s="340"/>
      <c r="H81" s="341"/>
    </row>
    <row r="82" spans="1:9" ht="13" x14ac:dyDescent="0.35">
      <c r="A82" s="16" t="s">
        <v>56</v>
      </c>
      <c r="B82" s="225" t="str">
        <f>IF('STEP 2-WQv Calculation'!$B$4="","",'STEP 2-WQv Calculation'!$B$4)</f>
        <v/>
      </c>
    </row>
    <row r="83" spans="1:9" ht="15" customHeight="1" x14ac:dyDescent="0.35">
      <c r="A83" s="236" t="s">
        <v>293</v>
      </c>
      <c r="B83" s="237"/>
      <c r="C83" s="237"/>
      <c r="D83" s="237"/>
      <c r="E83" s="237"/>
      <c r="F83" s="237"/>
      <c r="G83" s="237"/>
      <c r="H83" s="238"/>
    </row>
    <row r="84" spans="1:9" ht="38.5" x14ac:dyDescent="0.35">
      <c r="A84" s="204" t="s">
        <v>60</v>
      </c>
      <c r="B84" s="205" t="s">
        <v>61</v>
      </c>
      <c r="C84" s="205" t="s">
        <v>62</v>
      </c>
      <c r="D84" s="205" t="s">
        <v>63</v>
      </c>
      <c r="E84" s="205" t="s">
        <v>64</v>
      </c>
      <c r="F84" s="205" t="s">
        <v>65</v>
      </c>
      <c r="G84" s="205" t="s">
        <v>244</v>
      </c>
      <c r="H84" s="206" t="s">
        <v>13</v>
      </c>
    </row>
    <row r="85" spans="1:9" x14ac:dyDescent="0.35">
      <c r="A85" s="218"/>
      <c r="B85" s="3" t="str">
        <f>IF($A85="","",(LOOKUP($A85,'STEP 2-WQv Calculation'!$A$8:$A$37,'STEP 2-WQv Calculation'!$B$8:$B$37)))</f>
        <v/>
      </c>
      <c r="C85" s="3" t="str">
        <f>IF($A85="","",(LOOKUP($A85,'STEP 2-WQv Calculation'!$A$8:$A$37,'STEP 2-WQv Calculation'!$C$8:$C$37)))</f>
        <v/>
      </c>
      <c r="D85" s="212" t="str">
        <f>IF($A85="","",(LOOKUP($A85,'STEP 2-WQv Calculation'!$A$8:$A$37,'STEP 2-WQv Calculation'!$D$8:$D$37)))</f>
        <v/>
      </c>
      <c r="E85" s="3" t="str">
        <f>IF($A85="","",(LOOKUP($A85,'STEP 2-WQv Calculation'!$A$8:$A$37,'STEP 2-WQv Calculation'!$E$8:$E$37)))</f>
        <v/>
      </c>
      <c r="F85" s="217" t="str">
        <f>IF($A85="","",(LOOKUP($A85,'STEP 2-WQv Calculation'!$A$8:$A$37,'STEP 2-WQv Calculation'!$F$8:$F$37)))</f>
        <v/>
      </c>
      <c r="G85" s="22">
        <f>'STEP 2-WQv Calculation'!B5</f>
        <v>0</v>
      </c>
      <c r="H85" s="198" t="str">
        <f>IF($A85="","",(LOOKUP($A85,'STEP 2-WQv Calculation'!$A$8:$A$37,'STEP 2-WQv Calculation'!$G$8:$G$37)))</f>
        <v/>
      </c>
    </row>
    <row r="86" spans="1:9" ht="15" customHeight="1" x14ac:dyDescent="0.35">
      <c r="A86" s="409" t="s">
        <v>226</v>
      </c>
      <c r="B86" s="410"/>
      <c r="C86" s="410"/>
      <c r="D86" s="410"/>
      <c r="E86" s="410"/>
      <c r="F86" s="410"/>
      <c r="G86" s="410"/>
      <c r="H86" s="411"/>
    </row>
    <row r="87" spans="1:9" ht="30.25" customHeight="1" x14ac:dyDescent="0.35">
      <c r="A87" s="242" t="s">
        <v>295</v>
      </c>
      <c r="B87" s="243"/>
      <c r="C87" s="244"/>
      <c r="D87" s="44"/>
      <c r="E87" s="322" t="str">
        <f>IF(D87="","",IF(D87&lt;0.5,"Does not meet design criteria",""))</f>
        <v/>
      </c>
      <c r="F87" s="323"/>
      <c r="G87" s="323"/>
      <c r="H87" s="324"/>
    </row>
    <row r="88" spans="1:9" ht="28.9" customHeight="1" x14ac:dyDescent="0.35">
      <c r="A88" s="242" t="s">
        <v>717</v>
      </c>
      <c r="B88" s="243"/>
      <c r="C88" s="244"/>
      <c r="D88" s="211"/>
      <c r="E88" s="322" t="str">
        <f>IF(D88="Yes","Two treatment practices in series required. Refer to Section 6.3.1","")</f>
        <v/>
      </c>
      <c r="F88" s="323"/>
      <c r="G88" s="323"/>
      <c r="H88" s="324"/>
    </row>
    <row r="89" spans="1:9" s="1" customFormat="1" ht="26.5" customHeight="1" x14ac:dyDescent="0.35">
      <c r="A89" s="242" t="s">
        <v>718</v>
      </c>
      <c r="B89" s="243"/>
      <c r="C89" s="244"/>
      <c r="D89" s="211"/>
      <c r="E89" s="322" t="str">
        <f>IF(D89="","See Section 4.14 of the Design Manual",IF(D89="Yes","Does not meet design criteria",""))</f>
        <v>See Section 4.14 of the Design Manual</v>
      </c>
      <c r="F89" s="323"/>
      <c r="G89" s="323"/>
      <c r="H89" s="324"/>
      <c r="I89" s="4"/>
    </row>
    <row r="90" spans="1:9" x14ac:dyDescent="0.35">
      <c r="A90" s="242" t="s">
        <v>516</v>
      </c>
      <c r="B90" s="243"/>
      <c r="C90" s="244"/>
      <c r="D90" s="227">
        <f>IF(D87&lt;0.5,0,IF(AND(D87&gt;5,D87&lt;=10,C85&lt;=15),25,IF(AND(D87&gt;10,C85&lt;=20),50,IF(C85&gt;20,0,IF(D87&gt;=0.5,10,IF(D87&lt;=5,10,IF(C85&lt;=10,10)))))))</f>
        <v>0</v>
      </c>
      <c r="E90" s="322"/>
      <c r="F90" s="323"/>
      <c r="G90" s="323"/>
      <c r="H90" s="324"/>
    </row>
    <row r="91" spans="1:9" ht="28.9" customHeight="1" x14ac:dyDescent="0.35">
      <c r="A91" s="242" t="s">
        <v>517</v>
      </c>
      <c r="B91" s="243"/>
      <c r="C91" s="244"/>
      <c r="D91" s="135" t="str">
        <f>IF(B85="","",IF(B85&gt;D90,"Yes","No"))</f>
        <v/>
      </c>
      <c r="E91" s="322" t="str">
        <f>IF(D91="","",IF(D91="Yes","Does not meet design criteria",""))</f>
        <v/>
      </c>
      <c r="F91" s="323"/>
      <c r="G91" s="323"/>
      <c r="H91" s="324"/>
    </row>
    <row r="92" spans="1:9" ht="28.9" customHeight="1" x14ac:dyDescent="0.35">
      <c r="A92" s="242" t="s">
        <v>703</v>
      </c>
      <c r="B92" s="406"/>
      <c r="C92" s="407"/>
      <c r="D92" s="43"/>
      <c r="E92" s="322"/>
      <c r="F92" s="406"/>
      <c r="G92" s="406"/>
      <c r="H92" s="407"/>
    </row>
    <row r="93" spans="1:9" ht="12.75" customHeight="1" x14ac:dyDescent="0.35">
      <c r="A93" s="242" t="s">
        <v>296</v>
      </c>
      <c r="B93" s="243"/>
      <c r="C93" s="244"/>
      <c r="D93" s="43"/>
      <c r="E93" s="322" t="str">
        <f>IF(OR(AND(D92="Yes",D93&lt;4),AND(D92="No",D93&lt;2)),"Does not meet design criteria","")</f>
        <v/>
      </c>
      <c r="F93" s="323"/>
      <c r="G93" s="323"/>
      <c r="H93" s="324"/>
    </row>
    <row r="94" spans="1:9" x14ac:dyDescent="0.35">
      <c r="A94" s="242" t="s">
        <v>297</v>
      </c>
      <c r="B94" s="243"/>
      <c r="C94" s="244"/>
      <c r="D94" s="43"/>
      <c r="E94" s="322" t="str">
        <f>IF(D94="","",IF(D94&lt;2,"Does not meet design criteria",""))</f>
        <v/>
      </c>
      <c r="F94" s="323"/>
      <c r="G94" s="323"/>
      <c r="H94" s="324"/>
    </row>
    <row r="95" spans="1:9" ht="15" customHeight="1" x14ac:dyDescent="0.35">
      <c r="A95" s="242" t="s">
        <v>507</v>
      </c>
      <c r="B95" s="243"/>
      <c r="C95" s="244"/>
      <c r="D95" s="43"/>
      <c r="E95" s="322" t="str">
        <f>IF(D95="","",IF(AND(D87&lt;=10,D95&lt;(F85*0.25)),"Does not meet design criteria",IF(AND(D87&gt;10,D95&lt;(F85*0.5)),"Does not meet design criteria","")))</f>
        <v/>
      </c>
      <c r="F95" s="323"/>
      <c r="G95" s="323"/>
      <c r="H95" s="324"/>
    </row>
    <row r="96" spans="1:9" x14ac:dyDescent="0.35">
      <c r="A96" s="242" t="s">
        <v>518</v>
      </c>
      <c r="B96" s="243"/>
      <c r="C96" s="244"/>
      <c r="D96" s="43"/>
      <c r="E96" s="322" t="str">
        <f>IF(D96="","",IF(D96&lt;1,"Does not meet design criteria",""))</f>
        <v/>
      </c>
      <c r="F96" s="323"/>
      <c r="G96" s="323"/>
      <c r="H96" s="324"/>
    </row>
    <row r="97" spans="1:8" x14ac:dyDescent="0.35">
      <c r="A97" s="242" t="s">
        <v>519</v>
      </c>
      <c r="B97" s="243"/>
      <c r="C97" s="244"/>
      <c r="D97" s="43"/>
      <c r="E97" s="322" t="str">
        <f>IF(D97&gt;6,"Does not meet design criteria","")</f>
        <v/>
      </c>
      <c r="F97" s="323"/>
      <c r="G97" s="323"/>
      <c r="H97" s="324"/>
    </row>
    <row r="98" spans="1:8" ht="14.5" x14ac:dyDescent="0.35">
      <c r="A98" s="242" t="s">
        <v>705</v>
      </c>
      <c r="B98" s="406"/>
      <c r="C98" s="407"/>
      <c r="D98" s="43"/>
      <c r="E98" s="322" t="str">
        <f>IF(D98="","",IF(D98&lt;3,"Does not meet design criteria",""))</f>
        <v/>
      </c>
      <c r="F98" s="406"/>
      <c r="G98" s="406"/>
      <c r="H98" s="407"/>
    </row>
    <row r="99" spans="1:8" x14ac:dyDescent="0.35">
      <c r="A99" s="242" t="s">
        <v>520</v>
      </c>
      <c r="B99" s="243"/>
      <c r="C99" s="244"/>
      <c r="D99" s="43"/>
      <c r="E99" s="322" t="str">
        <f>IF(D99&gt;15,"Does not meet design criteria","")</f>
        <v/>
      </c>
      <c r="F99" s="323"/>
      <c r="G99" s="323"/>
      <c r="H99" s="324"/>
    </row>
    <row r="100" spans="1:8" ht="15" customHeight="1" x14ac:dyDescent="0.35">
      <c r="A100" s="242" t="s">
        <v>521</v>
      </c>
      <c r="B100" s="243"/>
      <c r="C100" s="244"/>
      <c r="D100" s="43"/>
      <c r="E100" s="322" t="str">
        <f>IF(D100="","",IF(D100&lt;12,"Does not meet design criteria",""))</f>
        <v/>
      </c>
      <c r="F100" s="323"/>
      <c r="G100" s="323"/>
      <c r="H100" s="324"/>
    </row>
    <row r="101" spans="1:8" ht="15" customHeight="1" x14ac:dyDescent="0.35">
      <c r="A101" s="409" t="s">
        <v>232</v>
      </c>
      <c r="B101" s="410"/>
      <c r="C101" s="410"/>
      <c r="D101" s="410"/>
      <c r="E101" s="410"/>
      <c r="F101" s="410"/>
      <c r="G101" s="410"/>
      <c r="H101" s="411"/>
    </row>
    <row r="102" spans="1:8" ht="15" customHeight="1" x14ac:dyDescent="0.35">
      <c r="A102" s="378"/>
      <c r="B102" s="379"/>
      <c r="C102" s="380"/>
      <c r="D102" s="222" t="s">
        <v>256</v>
      </c>
      <c r="E102" s="208" t="s">
        <v>257</v>
      </c>
      <c r="F102" s="375" t="s">
        <v>258</v>
      </c>
      <c r="G102" s="376"/>
      <c r="H102" s="377"/>
    </row>
    <row r="103" spans="1:8" ht="15" customHeight="1" x14ac:dyDescent="0.35">
      <c r="A103" s="289" t="s">
        <v>302</v>
      </c>
      <c r="B103" s="289"/>
      <c r="C103" s="198" t="s">
        <v>303</v>
      </c>
      <c r="D103" s="3" t="str">
        <f>F85</f>
        <v/>
      </c>
      <c r="E103" s="193" t="s">
        <v>2</v>
      </c>
      <c r="F103" s="344"/>
      <c r="G103" s="344"/>
      <c r="H103" s="344"/>
    </row>
    <row r="104" spans="1:8" ht="15" customHeight="1" x14ac:dyDescent="0.35">
      <c r="A104" s="289" t="s">
        <v>522</v>
      </c>
      <c r="B104" s="289"/>
      <c r="C104" s="198" t="s">
        <v>523</v>
      </c>
      <c r="D104" s="153">
        <f>D97</f>
        <v>0</v>
      </c>
      <c r="E104" s="193" t="s">
        <v>271</v>
      </c>
      <c r="F104" s="344" t="str">
        <f>IF(D104&gt;6,"Does not meet design criteria","")</f>
        <v/>
      </c>
      <c r="G104" s="344"/>
      <c r="H104" s="344"/>
    </row>
    <row r="105" spans="1:8" ht="45.25" customHeight="1" x14ac:dyDescent="0.35">
      <c r="A105" s="334" t="s">
        <v>719</v>
      </c>
      <c r="B105" s="334"/>
      <c r="C105" s="217" t="s">
        <v>524</v>
      </c>
      <c r="D105" s="22" t="e">
        <f>ROUND(D103/D104,0)</f>
        <v>#VALUE!</v>
      </c>
      <c r="E105" s="144" t="s">
        <v>316</v>
      </c>
      <c r="F105" s="387"/>
      <c r="G105" s="388"/>
      <c r="H105" s="389"/>
    </row>
    <row r="106" spans="1:8" ht="15" customHeight="1" x14ac:dyDescent="0.35">
      <c r="A106" s="334" t="s">
        <v>720</v>
      </c>
      <c r="B106" s="334"/>
      <c r="C106" s="217" t="s">
        <v>524</v>
      </c>
      <c r="D106" s="218"/>
      <c r="E106" s="144" t="s">
        <v>316</v>
      </c>
      <c r="F106" s="387" t="str">
        <f>IF(D106="","",IF(D106&lt;D105,"Does not meet design criteria",IF(D106&lt;D104,"Does not meet design criteria","")))</f>
        <v/>
      </c>
      <c r="G106" s="388"/>
      <c r="H106" s="389"/>
    </row>
    <row r="107" spans="1:8" ht="15" customHeight="1" x14ac:dyDescent="0.35">
      <c r="A107" s="412" t="s">
        <v>372</v>
      </c>
      <c r="B107" s="412"/>
      <c r="C107" s="412"/>
      <c r="D107" s="412"/>
      <c r="E107" s="412"/>
      <c r="F107" s="412"/>
      <c r="G107" s="412"/>
      <c r="H107" s="412"/>
    </row>
    <row r="108" spans="1:8" ht="15" customHeight="1" x14ac:dyDescent="0.35">
      <c r="A108" s="335" t="s">
        <v>241</v>
      </c>
      <c r="B108" s="335"/>
      <c r="C108" s="9" t="str">
        <f>IF(A85="","",IF(D89="Yes",0,IF(D87&lt;0.5,0,IF(D91="Yes",0,IF(D93&lt;2,0,IF(D94&lt;2,0,IF(AND(D87&lt;=10,D95&lt;(F85*0.25)),0,IF(AND(D87&gt;10,D95&lt;(F85*0.5)),0,IF(D96&lt;1,0,IF(D97&gt;6,0,IF(D99&gt;15,0,IF(D100&lt;12,0,IF(D106&lt;D105,0,F85*1)))))))))))))</f>
        <v/>
      </c>
      <c r="D108" s="339" t="s">
        <v>2</v>
      </c>
      <c r="E108" s="340"/>
      <c r="F108" s="340"/>
      <c r="G108" s="340"/>
      <c r="H108" s="341"/>
    </row>
    <row r="109" spans="1:8" ht="13" x14ac:dyDescent="0.35">
      <c r="A109" s="16" t="s">
        <v>56</v>
      </c>
      <c r="B109" s="225" t="str">
        <f>IF('STEP 2-WQv Calculation'!$B$4="","",'STEP 2-WQv Calculation'!$B$4)</f>
        <v/>
      </c>
    </row>
    <row r="110" spans="1:8" ht="15" customHeight="1" x14ac:dyDescent="0.35">
      <c r="A110" s="236" t="s">
        <v>293</v>
      </c>
      <c r="B110" s="237"/>
      <c r="C110" s="237"/>
      <c r="D110" s="237"/>
      <c r="E110" s="237"/>
      <c r="F110" s="237"/>
      <c r="G110" s="237"/>
      <c r="H110" s="238"/>
    </row>
    <row r="111" spans="1:8" ht="38.5" x14ac:dyDescent="0.35">
      <c r="A111" s="204" t="s">
        <v>60</v>
      </c>
      <c r="B111" s="205" t="s">
        <v>61</v>
      </c>
      <c r="C111" s="205" t="s">
        <v>62</v>
      </c>
      <c r="D111" s="205" t="s">
        <v>63</v>
      </c>
      <c r="E111" s="205" t="s">
        <v>64</v>
      </c>
      <c r="F111" s="205" t="s">
        <v>65</v>
      </c>
      <c r="G111" s="205" t="s">
        <v>244</v>
      </c>
      <c r="H111" s="206" t="s">
        <v>13</v>
      </c>
    </row>
    <row r="112" spans="1:8" x14ac:dyDescent="0.35">
      <c r="A112" s="218"/>
      <c r="B112" s="3" t="str">
        <f>IF($A112="","",(LOOKUP($A112,'STEP 2-WQv Calculation'!$A$8:$A$37,'STEP 2-WQv Calculation'!$B$8:$B$37)))</f>
        <v/>
      </c>
      <c r="C112" s="3" t="str">
        <f>IF($A112="","",(LOOKUP($A112,'STEP 2-WQv Calculation'!$A$8:$A$37,'STEP 2-WQv Calculation'!$C$8:$C$37)))</f>
        <v/>
      </c>
      <c r="D112" s="212" t="str">
        <f>IF($A112="","",(LOOKUP($A112,'STEP 2-WQv Calculation'!$A$8:$A$37,'STEP 2-WQv Calculation'!$D$8:$D$37)))</f>
        <v/>
      </c>
      <c r="E112" s="3" t="str">
        <f>IF($A112="","",(LOOKUP($A112,'STEP 2-WQv Calculation'!$A$8:$A$37,'STEP 2-WQv Calculation'!$E$8:$E$37)))</f>
        <v/>
      </c>
      <c r="F112" s="217" t="str">
        <f>IF($A112="","",(LOOKUP($A112,'STEP 2-WQv Calculation'!$A$8:$A$37,'STEP 2-WQv Calculation'!$F$8:$F$37)))</f>
        <v/>
      </c>
      <c r="G112" s="22">
        <f>'STEP 2-WQv Calculation'!B5</f>
        <v>0</v>
      </c>
      <c r="H112" s="198" t="str">
        <f>IF($A112="","",(LOOKUP($A112,'STEP 2-WQv Calculation'!$A$8:$A$37,'STEP 2-WQv Calculation'!$G$8:$G$37)))</f>
        <v/>
      </c>
    </row>
    <row r="113" spans="1:9" ht="15" customHeight="1" x14ac:dyDescent="0.35">
      <c r="A113" s="409" t="s">
        <v>226</v>
      </c>
      <c r="B113" s="410"/>
      <c r="C113" s="410"/>
      <c r="D113" s="410"/>
      <c r="E113" s="410"/>
      <c r="F113" s="410"/>
      <c r="G113" s="410"/>
      <c r="H113" s="411"/>
    </row>
    <row r="114" spans="1:9" ht="28.9" customHeight="1" x14ac:dyDescent="0.35">
      <c r="A114" s="242" t="s">
        <v>295</v>
      </c>
      <c r="B114" s="243"/>
      <c r="C114" s="244"/>
      <c r="D114" s="44"/>
      <c r="E114" s="322" t="str">
        <f>IF(D114="","",IF(D114&lt;0.5,"Does not meet design criteria",""))</f>
        <v/>
      </c>
      <c r="F114" s="323"/>
      <c r="G114" s="323"/>
      <c r="H114" s="324"/>
    </row>
    <row r="115" spans="1:9" ht="28.9" customHeight="1" x14ac:dyDescent="0.35">
      <c r="A115" s="242" t="s">
        <v>717</v>
      </c>
      <c r="B115" s="243"/>
      <c r="C115" s="244"/>
      <c r="D115" s="211"/>
      <c r="E115" s="322" t="str">
        <f>IF(D115="Yes","Two treatment practices in series required. Refer to Section 6.3.1","")</f>
        <v/>
      </c>
      <c r="F115" s="323"/>
      <c r="G115" s="323"/>
      <c r="H115" s="324"/>
    </row>
    <row r="116" spans="1:9" s="1" customFormat="1" ht="26.5" customHeight="1" x14ac:dyDescent="0.35">
      <c r="A116" s="242" t="s">
        <v>718</v>
      </c>
      <c r="B116" s="243"/>
      <c r="C116" s="244"/>
      <c r="D116" s="211"/>
      <c r="E116" s="322" t="str">
        <f>IF(D116="","See Section 4.14 of the Design Manual",IF(D116="Yes","Does not meet design criteria",""))</f>
        <v>See Section 4.14 of the Design Manual</v>
      </c>
      <c r="F116" s="323"/>
      <c r="G116" s="323"/>
      <c r="H116" s="324"/>
      <c r="I116" s="4"/>
    </row>
    <row r="117" spans="1:9" x14ac:dyDescent="0.35">
      <c r="A117" s="242" t="s">
        <v>516</v>
      </c>
      <c r="B117" s="243"/>
      <c r="C117" s="244"/>
      <c r="D117" s="227">
        <f>IF(D114&lt;0.5,0,IF(AND(D114&gt;5,D114&lt;=10,C112&lt;=15),25,IF(AND(D114&gt;10,C112&lt;=20),50,IF(C112&gt;20,0,IF(D114&gt;=0.5,10,IF(D114&lt;=5,10,IF(C112&lt;=10,10)))))))</f>
        <v>0</v>
      </c>
      <c r="E117" s="322"/>
      <c r="F117" s="323"/>
      <c r="G117" s="323"/>
      <c r="H117" s="324"/>
    </row>
    <row r="118" spans="1:9" ht="28.9" customHeight="1" x14ac:dyDescent="0.35">
      <c r="A118" s="242" t="s">
        <v>517</v>
      </c>
      <c r="B118" s="243"/>
      <c r="C118" s="244"/>
      <c r="D118" s="135" t="str">
        <f>IF(B112="","",IF(B112&gt;D117,"Yes","No"))</f>
        <v/>
      </c>
      <c r="E118" s="322" t="str">
        <f>IF(D118="","",IF(D118="Yes","Does not meet design criteria",""))</f>
        <v/>
      </c>
      <c r="F118" s="323"/>
      <c r="G118" s="323"/>
      <c r="H118" s="324"/>
    </row>
    <row r="119" spans="1:9" ht="28.9" customHeight="1" x14ac:dyDescent="0.35">
      <c r="A119" s="242" t="s">
        <v>703</v>
      </c>
      <c r="B119" s="406"/>
      <c r="C119" s="407"/>
      <c r="D119" s="43"/>
      <c r="E119" s="322"/>
      <c r="F119" s="406"/>
      <c r="G119" s="406"/>
      <c r="H119" s="407"/>
    </row>
    <row r="120" spans="1:9" ht="15" customHeight="1" x14ac:dyDescent="0.35">
      <c r="A120" s="242" t="s">
        <v>296</v>
      </c>
      <c r="B120" s="243"/>
      <c r="C120" s="244"/>
      <c r="D120" s="43"/>
      <c r="E120" s="322" t="str">
        <f>IF(OR(AND(D119="Yes",D120&lt;4),AND(D119="No",D120&lt;2)),"Does not meet design criteria","")</f>
        <v/>
      </c>
      <c r="F120" s="323"/>
      <c r="G120" s="323"/>
      <c r="H120" s="324"/>
    </row>
    <row r="121" spans="1:9" x14ac:dyDescent="0.35">
      <c r="A121" s="242" t="s">
        <v>297</v>
      </c>
      <c r="B121" s="243"/>
      <c r="C121" s="244"/>
      <c r="D121" s="43"/>
      <c r="E121" s="322" t="str">
        <f>IF(D121="","",IF(D121&lt;2,"Does not meet design criteria",""))</f>
        <v/>
      </c>
      <c r="F121" s="323"/>
      <c r="G121" s="323"/>
      <c r="H121" s="324"/>
    </row>
    <row r="122" spans="1:9" x14ac:dyDescent="0.35">
      <c r="A122" s="242" t="s">
        <v>507</v>
      </c>
      <c r="B122" s="243"/>
      <c r="C122" s="244"/>
      <c r="D122" s="43"/>
      <c r="E122" s="322" t="str">
        <f>IF(D122="","",IF(AND(D114&lt;=10,D122&lt;(F112*0.25)),"Does not meet design criteria",IF(AND(D114&gt;10,D122&lt;(F112*0.5)),"Does not meet design criteria","")))</f>
        <v/>
      </c>
      <c r="F122" s="323"/>
      <c r="G122" s="323"/>
      <c r="H122" s="324"/>
    </row>
    <row r="123" spans="1:9" x14ac:dyDescent="0.35">
      <c r="A123" s="242" t="s">
        <v>518</v>
      </c>
      <c r="B123" s="243"/>
      <c r="C123" s="244"/>
      <c r="D123" s="43"/>
      <c r="E123" s="322" t="str">
        <f>IF(D123="","",IF(D123&lt;1,"Does not meet design criteria",""))</f>
        <v/>
      </c>
      <c r="F123" s="323"/>
      <c r="G123" s="323"/>
      <c r="H123" s="324"/>
    </row>
    <row r="124" spans="1:9" x14ac:dyDescent="0.35">
      <c r="A124" s="242" t="s">
        <v>519</v>
      </c>
      <c r="B124" s="243"/>
      <c r="C124" s="244"/>
      <c r="D124" s="43"/>
      <c r="E124" s="322" t="str">
        <f>IF(D124&gt;6,"Does not meet design criteria","")</f>
        <v/>
      </c>
      <c r="F124" s="323"/>
      <c r="G124" s="323"/>
      <c r="H124" s="324"/>
    </row>
    <row r="125" spans="1:9" ht="14.5" x14ac:dyDescent="0.35">
      <c r="A125" s="242" t="s">
        <v>705</v>
      </c>
      <c r="B125" s="406"/>
      <c r="C125" s="407"/>
      <c r="D125" s="43"/>
      <c r="E125" s="322" t="str">
        <f>IF(D125="","",IF(D125&lt;3,"Does not meet design criteria",""))</f>
        <v/>
      </c>
      <c r="F125" s="406"/>
      <c r="G125" s="406"/>
      <c r="H125" s="407"/>
    </row>
    <row r="126" spans="1:9" x14ac:dyDescent="0.35">
      <c r="A126" s="242" t="s">
        <v>520</v>
      </c>
      <c r="B126" s="243"/>
      <c r="C126" s="244"/>
      <c r="D126" s="43"/>
      <c r="E126" s="322" t="str">
        <f>IF(D126&gt;15,"Does not meet design criteria","")</f>
        <v/>
      </c>
      <c r="F126" s="323"/>
      <c r="G126" s="323"/>
      <c r="H126" s="324"/>
    </row>
    <row r="127" spans="1:9" x14ac:dyDescent="0.35">
      <c r="A127" s="242" t="s">
        <v>521</v>
      </c>
      <c r="B127" s="243"/>
      <c r="C127" s="244"/>
      <c r="D127" s="43"/>
      <c r="E127" s="322" t="str">
        <f>IF(D127="","",IF(D127&lt;12,"Does not meet design criteria",""))</f>
        <v/>
      </c>
      <c r="F127" s="323"/>
      <c r="G127" s="323"/>
      <c r="H127" s="324"/>
    </row>
    <row r="128" spans="1:9" ht="13" x14ac:dyDescent="0.35">
      <c r="A128" s="409" t="s">
        <v>232</v>
      </c>
      <c r="B128" s="410"/>
      <c r="C128" s="410"/>
      <c r="D128" s="410"/>
      <c r="E128" s="410"/>
      <c r="F128" s="410"/>
      <c r="G128" s="410"/>
      <c r="H128" s="411"/>
    </row>
    <row r="129" spans="1:8" x14ac:dyDescent="0.35">
      <c r="A129" s="378"/>
      <c r="B129" s="379"/>
      <c r="C129" s="380"/>
      <c r="D129" s="222" t="s">
        <v>256</v>
      </c>
      <c r="E129" s="208" t="s">
        <v>257</v>
      </c>
      <c r="F129" s="375" t="s">
        <v>258</v>
      </c>
      <c r="G129" s="376"/>
      <c r="H129" s="377"/>
    </row>
    <row r="130" spans="1:8" x14ac:dyDescent="0.35">
      <c r="A130" s="289" t="s">
        <v>302</v>
      </c>
      <c r="B130" s="289"/>
      <c r="C130" s="198" t="s">
        <v>303</v>
      </c>
      <c r="D130" s="212" t="str">
        <f>F112</f>
        <v/>
      </c>
      <c r="E130" s="193" t="s">
        <v>2</v>
      </c>
      <c r="F130" s="344"/>
      <c r="G130" s="344"/>
      <c r="H130" s="344"/>
    </row>
    <row r="131" spans="1:8" x14ac:dyDescent="0.35">
      <c r="A131" s="289" t="s">
        <v>522</v>
      </c>
      <c r="B131" s="289"/>
      <c r="C131" s="198" t="s">
        <v>523</v>
      </c>
      <c r="D131" s="153">
        <f>D124</f>
        <v>0</v>
      </c>
      <c r="E131" s="193" t="s">
        <v>271</v>
      </c>
      <c r="F131" s="344" t="str">
        <f>IF(D131&gt;6,"Does not meet design criteria","")</f>
        <v/>
      </c>
      <c r="G131" s="344"/>
      <c r="H131" s="344"/>
    </row>
    <row r="132" spans="1:8" ht="12.75" customHeight="1" x14ac:dyDescent="0.35">
      <c r="A132" s="334" t="s">
        <v>719</v>
      </c>
      <c r="B132" s="334"/>
      <c r="C132" s="217" t="s">
        <v>524</v>
      </c>
      <c r="D132" s="22" t="e">
        <f>ROUND(D130/D131,0)</f>
        <v>#VALUE!</v>
      </c>
      <c r="E132" s="144" t="s">
        <v>316</v>
      </c>
      <c r="F132" s="387"/>
      <c r="G132" s="388"/>
      <c r="H132" s="389"/>
    </row>
    <row r="133" spans="1:8" ht="15" customHeight="1" x14ac:dyDescent="0.35">
      <c r="A133" s="334" t="s">
        <v>720</v>
      </c>
      <c r="B133" s="334"/>
      <c r="C133" s="217" t="s">
        <v>524</v>
      </c>
      <c r="D133" s="218"/>
      <c r="E133" s="144" t="s">
        <v>316</v>
      </c>
      <c r="F133" s="387" t="str">
        <f>IF(D133="","",IF(D133&lt;D132,"Does not meet design criteria",IF(D133&lt;D131,"Does not meet design criteria","")))</f>
        <v/>
      </c>
      <c r="G133" s="388"/>
      <c r="H133" s="389"/>
    </row>
    <row r="134" spans="1:8" ht="15" customHeight="1" x14ac:dyDescent="0.35">
      <c r="A134" s="412" t="s">
        <v>372</v>
      </c>
      <c r="B134" s="412"/>
      <c r="C134" s="412"/>
      <c r="D134" s="412"/>
      <c r="E134" s="412"/>
      <c r="F134" s="412"/>
      <c r="G134" s="412"/>
      <c r="H134" s="412"/>
    </row>
    <row r="135" spans="1:8" ht="15" customHeight="1" x14ac:dyDescent="0.35">
      <c r="A135" s="335" t="s">
        <v>241</v>
      </c>
      <c r="B135" s="335"/>
      <c r="C135" s="9" t="str">
        <f>IF(A112="","",IF(D116="Yes",0,IF(D114&lt;0.5,0,IF(D118="Yes",0,IF(D120&lt;2,0,IF(D121&lt;2,0,IF(AND(D114&lt;=10,D122&lt;(F112*0.25)),0,IF(AND(D114&gt;10,D122&lt;(F112*0.5)),0,IF(D123&lt;1,0,IF(D124&gt;6,0,IF(D126&gt;15,0,IF(D127&lt;12,0,IF(D133&lt;D132,0,F112*1)))))))))))))</f>
        <v/>
      </c>
      <c r="D135" s="339" t="s">
        <v>2</v>
      </c>
      <c r="E135" s="340"/>
      <c r="F135" s="340"/>
      <c r="G135" s="340"/>
      <c r="H135" s="341"/>
    </row>
    <row r="136" spans="1:8" ht="15" customHeight="1" x14ac:dyDescent="0.35">
      <c r="A136" s="16" t="s">
        <v>56</v>
      </c>
      <c r="B136" s="225" t="str">
        <f>IF('STEP 2-WQv Calculation'!$B$4="","",'STEP 2-WQv Calculation'!$B$4)</f>
        <v/>
      </c>
    </row>
    <row r="137" spans="1:8" ht="13" x14ac:dyDescent="0.35">
      <c r="A137" s="236" t="s">
        <v>293</v>
      </c>
      <c r="B137" s="237"/>
      <c r="C137" s="237"/>
      <c r="D137" s="237"/>
      <c r="E137" s="237"/>
      <c r="F137" s="237"/>
      <c r="G137" s="237"/>
      <c r="H137" s="238"/>
    </row>
    <row r="138" spans="1:8" ht="38.5" x14ac:dyDescent="0.35">
      <c r="A138" s="204" t="s">
        <v>60</v>
      </c>
      <c r="B138" s="205" t="s">
        <v>61</v>
      </c>
      <c r="C138" s="205" t="s">
        <v>62</v>
      </c>
      <c r="D138" s="205" t="s">
        <v>63</v>
      </c>
      <c r="E138" s="205" t="s">
        <v>64</v>
      </c>
      <c r="F138" s="205" t="s">
        <v>65</v>
      </c>
      <c r="G138" s="205" t="s">
        <v>244</v>
      </c>
      <c r="H138" s="206" t="s">
        <v>13</v>
      </c>
    </row>
    <row r="139" spans="1:8" x14ac:dyDescent="0.35">
      <c r="A139" s="218"/>
      <c r="B139" s="3" t="str">
        <f>IF($A139="","",(LOOKUP($A139,'STEP 2-WQv Calculation'!$A$8:$A$37,'STEP 2-WQv Calculation'!$B$8:$B$37)))</f>
        <v/>
      </c>
      <c r="C139" s="3" t="str">
        <f>IF($A139="","",(LOOKUP($A139,'STEP 2-WQv Calculation'!$A$8:$A$37,'STEP 2-WQv Calculation'!$C$8:$C$37)))</f>
        <v/>
      </c>
      <c r="D139" s="212" t="str">
        <f>IF($A139="","",(LOOKUP($A139,'STEP 2-WQv Calculation'!$A$8:$A$37,'STEP 2-WQv Calculation'!$D$8:$D$37)))</f>
        <v/>
      </c>
      <c r="E139" s="3" t="str">
        <f>IF($A139="","",(LOOKUP($A139,'STEP 2-WQv Calculation'!$A$8:$A$37,'STEP 2-WQv Calculation'!$E$8:$E$37)))</f>
        <v/>
      </c>
      <c r="F139" s="217" t="str">
        <f>IF($A139="","",(LOOKUP($A139,'STEP 2-WQv Calculation'!$A$8:$A$37,'STEP 2-WQv Calculation'!$F$8:$F$37)))</f>
        <v/>
      </c>
      <c r="G139" s="22">
        <f>'STEP 2-WQv Calculation'!B32</f>
        <v>0</v>
      </c>
      <c r="H139" s="198" t="str">
        <f>IF($A139="","",(LOOKUP($A139,'STEP 2-WQv Calculation'!$A$8:$A$37,'STEP 2-WQv Calculation'!$G$8:$G$37)))</f>
        <v/>
      </c>
    </row>
    <row r="140" spans="1:8" ht="13" x14ac:dyDescent="0.35">
      <c r="A140" s="409" t="s">
        <v>226</v>
      </c>
      <c r="B140" s="410"/>
      <c r="C140" s="410"/>
      <c r="D140" s="410"/>
      <c r="E140" s="410"/>
      <c r="F140" s="410"/>
      <c r="G140" s="410"/>
      <c r="H140" s="411"/>
    </row>
    <row r="141" spans="1:8" x14ac:dyDescent="0.35">
      <c r="A141" s="242" t="s">
        <v>295</v>
      </c>
      <c r="B141" s="243"/>
      <c r="C141" s="244"/>
      <c r="D141" s="44"/>
      <c r="E141" s="322" t="str">
        <f>IF(D141="","",IF(D141&lt;0.5,"Does not meet design criteria",""))</f>
        <v/>
      </c>
      <c r="F141" s="323"/>
      <c r="G141" s="323"/>
      <c r="H141" s="324"/>
    </row>
    <row r="142" spans="1:8" x14ac:dyDescent="0.35">
      <c r="A142" s="242" t="s">
        <v>717</v>
      </c>
      <c r="B142" s="243"/>
      <c r="C142" s="244"/>
      <c r="D142" s="211"/>
      <c r="E142" s="322" t="str">
        <f>IF(D142="Yes","Two treatment practices in series required. Refer to Section 6.3.1","")</f>
        <v/>
      </c>
      <c r="F142" s="323"/>
      <c r="G142" s="323"/>
      <c r="H142" s="324"/>
    </row>
    <row r="143" spans="1:8" x14ac:dyDescent="0.35">
      <c r="A143" s="242" t="s">
        <v>718</v>
      </c>
      <c r="B143" s="243"/>
      <c r="C143" s="244"/>
      <c r="D143" s="211"/>
      <c r="E143" s="322" t="str">
        <f>IF(D143="","See Section 4.14 of the Design Manual",IF(D143="Yes","Does not meet design criteria",""))</f>
        <v>See Section 4.14 of the Design Manual</v>
      </c>
      <c r="F143" s="323"/>
      <c r="G143" s="323"/>
      <c r="H143" s="324"/>
    </row>
    <row r="144" spans="1:8" x14ac:dyDescent="0.35">
      <c r="A144" s="242" t="s">
        <v>516</v>
      </c>
      <c r="B144" s="243"/>
      <c r="C144" s="244"/>
      <c r="D144" s="227">
        <f>IF(D141&lt;0.5,0,IF(AND(D141&gt;5,D141&lt;=10,C139&lt;=15),25,IF(AND(D141&gt;10,C139&lt;=20),50,IF(C139&gt;20,0,IF(D141&gt;=0.5,10,IF(D141&lt;=5,10,IF(C139&lt;=10,10)))))))</f>
        <v>0</v>
      </c>
      <c r="E144" s="322"/>
      <c r="F144" s="323"/>
      <c r="G144" s="323"/>
      <c r="H144" s="324"/>
    </row>
    <row r="145" spans="1:8" x14ac:dyDescent="0.35">
      <c r="A145" s="242" t="s">
        <v>517</v>
      </c>
      <c r="B145" s="243"/>
      <c r="C145" s="244"/>
      <c r="D145" s="135" t="str">
        <f>IF(B139="","",IF(B139&gt;D144,"Yes","No"))</f>
        <v/>
      </c>
      <c r="E145" s="322" t="str">
        <f>IF(D145="","",IF(D145="Yes","Does not meet design criteria",""))</f>
        <v/>
      </c>
      <c r="F145" s="323"/>
      <c r="G145" s="323"/>
      <c r="H145" s="324"/>
    </row>
    <row r="146" spans="1:8" ht="14.5" x14ac:dyDescent="0.35">
      <c r="A146" s="242" t="s">
        <v>703</v>
      </c>
      <c r="B146" s="406"/>
      <c r="C146" s="407"/>
      <c r="D146" s="43"/>
      <c r="E146" s="322"/>
      <c r="F146" s="406"/>
      <c r="G146" s="406"/>
      <c r="H146" s="407"/>
    </row>
    <row r="147" spans="1:8" x14ac:dyDescent="0.35">
      <c r="A147" s="242" t="s">
        <v>296</v>
      </c>
      <c r="B147" s="243"/>
      <c r="C147" s="244"/>
      <c r="D147" s="43"/>
      <c r="E147" s="322" t="str">
        <f>IF(OR(AND(D146="Yes",D147&lt;4),AND(D146="No",D147&lt;2)),"Does not meet design criteria","")</f>
        <v/>
      </c>
      <c r="F147" s="323"/>
      <c r="G147" s="323"/>
      <c r="H147" s="324"/>
    </row>
    <row r="148" spans="1:8" x14ac:dyDescent="0.35">
      <c r="A148" s="242" t="s">
        <v>297</v>
      </c>
      <c r="B148" s="243"/>
      <c r="C148" s="244"/>
      <c r="D148" s="43"/>
      <c r="E148" s="322" t="str">
        <f>IF(D148="","",IF(D148&lt;2,"Does not meet design criteria",""))</f>
        <v/>
      </c>
      <c r="F148" s="323"/>
      <c r="G148" s="323"/>
      <c r="H148" s="324"/>
    </row>
    <row r="149" spans="1:8" x14ac:dyDescent="0.35">
      <c r="A149" s="242" t="s">
        <v>507</v>
      </c>
      <c r="B149" s="243"/>
      <c r="C149" s="244"/>
      <c r="D149" s="43"/>
      <c r="E149" s="322" t="str">
        <f>IF(D149="","",IF(AND(D141&lt;=10,D149&lt;(F139*0.25)),"Does not meet design criteria",IF(AND(D141&gt;10,D149&lt;(F139*0.5)),"Does not meet design criteria","")))</f>
        <v/>
      </c>
      <c r="F149" s="323"/>
      <c r="G149" s="323"/>
      <c r="H149" s="324"/>
    </row>
    <row r="150" spans="1:8" x14ac:dyDescent="0.35">
      <c r="A150" s="242" t="s">
        <v>518</v>
      </c>
      <c r="B150" s="243"/>
      <c r="C150" s="244"/>
      <c r="D150" s="43"/>
      <c r="E150" s="322" t="str">
        <f>IF(D150="","",IF(D150&lt;1,"Does not meet design criteria",""))</f>
        <v/>
      </c>
      <c r="F150" s="323"/>
      <c r="G150" s="323"/>
      <c r="H150" s="324"/>
    </row>
    <row r="151" spans="1:8" x14ac:dyDescent="0.35">
      <c r="A151" s="242" t="s">
        <v>519</v>
      </c>
      <c r="B151" s="243"/>
      <c r="C151" s="244"/>
      <c r="D151" s="43"/>
      <c r="E151" s="322" t="str">
        <f>IF(D151&gt;6,"Does not meet design criteria","")</f>
        <v/>
      </c>
      <c r="F151" s="323"/>
      <c r="G151" s="323"/>
      <c r="H151" s="324"/>
    </row>
    <row r="152" spans="1:8" ht="14.5" x14ac:dyDescent="0.35">
      <c r="A152" s="242" t="s">
        <v>705</v>
      </c>
      <c r="B152" s="406"/>
      <c r="C152" s="407"/>
      <c r="D152" s="43"/>
      <c r="E152" s="322" t="str">
        <f>IF(D152="","",IF(D152&lt;3,"Does not meet design criteria",""))</f>
        <v/>
      </c>
      <c r="F152" s="406"/>
      <c r="G152" s="406"/>
      <c r="H152" s="407"/>
    </row>
    <row r="153" spans="1:8" x14ac:dyDescent="0.35">
      <c r="A153" s="242" t="s">
        <v>520</v>
      </c>
      <c r="B153" s="243"/>
      <c r="C153" s="244"/>
      <c r="D153" s="43"/>
      <c r="E153" s="322" t="str">
        <f>IF(D153&gt;15,"Does not meet design criteria","")</f>
        <v/>
      </c>
      <c r="F153" s="323"/>
      <c r="G153" s="323"/>
      <c r="H153" s="324"/>
    </row>
    <row r="154" spans="1:8" x14ac:dyDescent="0.35">
      <c r="A154" s="242" t="s">
        <v>521</v>
      </c>
      <c r="B154" s="243"/>
      <c r="C154" s="244"/>
      <c r="D154" s="43"/>
      <c r="E154" s="322" t="str">
        <f>IF(D154="","",IF(D154&lt;12,"Does not meet design criteria",""))</f>
        <v/>
      </c>
      <c r="F154" s="323"/>
      <c r="G154" s="323"/>
      <c r="H154" s="324"/>
    </row>
    <row r="155" spans="1:8" ht="13" x14ac:dyDescent="0.35">
      <c r="A155" s="409" t="s">
        <v>232</v>
      </c>
      <c r="B155" s="410"/>
      <c r="C155" s="410"/>
      <c r="D155" s="410"/>
      <c r="E155" s="410"/>
      <c r="F155" s="410"/>
      <c r="G155" s="410"/>
      <c r="H155" s="411"/>
    </row>
    <row r="156" spans="1:8" x14ac:dyDescent="0.35">
      <c r="A156" s="378"/>
      <c r="B156" s="379"/>
      <c r="C156" s="380"/>
      <c r="D156" s="222" t="s">
        <v>256</v>
      </c>
      <c r="E156" s="208" t="s">
        <v>257</v>
      </c>
      <c r="F156" s="375" t="s">
        <v>258</v>
      </c>
      <c r="G156" s="376"/>
      <c r="H156" s="377"/>
    </row>
    <row r="157" spans="1:8" x14ac:dyDescent="0.35">
      <c r="A157" s="289" t="s">
        <v>302</v>
      </c>
      <c r="B157" s="289"/>
      <c r="C157" s="198" t="s">
        <v>303</v>
      </c>
      <c r="D157" s="212" t="str">
        <f>F139</f>
        <v/>
      </c>
      <c r="E157" s="193" t="s">
        <v>2</v>
      </c>
      <c r="F157" s="344"/>
      <c r="G157" s="344"/>
      <c r="H157" s="344"/>
    </row>
    <row r="158" spans="1:8" x14ac:dyDescent="0.35">
      <c r="A158" s="289" t="s">
        <v>522</v>
      </c>
      <c r="B158" s="289"/>
      <c r="C158" s="198" t="s">
        <v>523</v>
      </c>
      <c r="D158" s="153">
        <f>D151</f>
        <v>0</v>
      </c>
      <c r="E158" s="193" t="s">
        <v>271</v>
      </c>
      <c r="F158" s="344" t="str">
        <f>IF(D158&gt;6,"Does not meet design criteria","")</f>
        <v/>
      </c>
      <c r="G158" s="344"/>
      <c r="H158" s="344"/>
    </row>
    <row r="159" spans="1:8" x14ac:dyDescent="0.35">
      <c r="A159" s="334" t="s">
        <v>719</v>
      </c>
      <c r="B159" s="334"/>
      <c r="C159" s="217" t="s">
        <v>524</v>
      </c>
      <c r="D159" s="22" t="e">
        <f>ROUND(D157/D158,0)</f>
        <v>#VALUE!</v>
      </c>
      <c r="E159" s="144" t="s">
        <v>316</v>
      </c>
      <c r="F159" s="387"/>
      <c r="G159" s="388"/>
      <c r="H159" s="389"/>
    </row>
    <row r="160" spans="1:8" x14ac:dyDescent="0.35">
      <c r="A160" s="334" t="s">
        <v>720</v>
      </c>
      <c r="B160" s="334"/>
      <c r="C160" s="217" t="s">
        <v>524</v>
      </c>
      <c r="D160" s="218"/>
      <c r="E160" s="144" t="s">
        <v>316</v>
      </c>
      <c r="F160" s="387" t="str">
        <f>IF(D160="","",IF(D160&lt;D159,"Does not meet design criteria",IF(D160&lt;D158,"Does not meet design criteria","")))</f>
        <v/>
      </c>
      <c r="G160" s="388"/>
      <c r="H160" s="389"/>
    </row>
    <row r="161" spans="1:8" ht="13" x14ac:dyDescent="0.35">
      <c r="A161" s="412" t="s">
        <v>372</v>
      </c>
      <c r="B161" s="412"/>
      <c r="C161" s="412"/>
      <c r="D161" s="412"/>
      <c r="E161" s="412"/>
      <c r="F161" s="412"/>
      <c r="G161" s="412"/>
      <c r="H161" s="412"/>
    </row>
    <row r="162" spans="1:8" ht="13" x14ac:dyDescent="0.35">
      <c r="A162" s="335" t="s">
        <v>241</v>
      </c>
      <c r="B162" s="335"/>
      <c r="C162" s="9" t="str">
        <f>IF(A139="","",IF(D143="Yes",0,IF(D141&lt;0.5,0,IF(D145="Yes",0,IF(D147&lt;2,0,IF(D148&lt;2,0,IF(AND(D141&lt;=10,D149&lt;(F139*0.25)),0,IF(AND(D141&gt;10,D149&lt;(F139*0.5)),0,IF(D150&lt;1,0,IF(D151&gt;6,0,IF(D153&gt;15,0,IF(D154&lt;12,0,IF(D160&lt;D159,0,F139*1)))))))))))))</f>
        <v/>
      </c>
      <c r="D162" s="339" t="s">
        <v>2</v>
      </c>
      <c r="E162" s="340"/>
      <c r="F162" s="340"/>
      <c r="G162" s="340"/>
      <c r="H162" s="341"/>
    </row>
    <row r="163" spans="1:8" ht="13" x14ac:dyDescent="0.35">
      <c r="A163" s="16" t="s">
        <v>56</v>
      </c>
      <c r="B163" s="225" t="str">
        <f>IF('STEP 2-WQv Calculation'!$B$4="","",'STEP 2-WQv Calculation'!$B$4)</f>
        <v/>
      </c>
    </row>
    <row r="164" spans="1:8" ht="13" x14ac:dyDescent="0.35">
      <c r="A164" s="236" t="s">
        <v>293</v>
      </c>
      <c r="B164" s="237"/>
      <c r="C164" s="237"/>
      <c r="D164" s="237"/>
      <c r="E164" s="237"/>
      <c r="F164" s="237"/>
      <c r="G164" s="237"/>
      <c r="H164" s="238"/>
    </row>
    <row r="165" spans="1:8" ht="38.5" x14ac:dyDescent="0.35">
      <c r="A165" s="204" t="s">
        <v>60</v>
      </c>
      <c r="B165" s="205" t="s">
        <v>61</v>
      </c>
      <c r="C165" s="205" t="s">
        <v>62</v>
      </c>
      <c r="D165" s="205" t="s">
        <v>63</v>
      </c>
      <c r="E165" s="205" t="s">
        <v>64</v>
      </c>
      <c r="F165" s="205" t="s">
        <v>65</v>
      </c>
      <c r="G165" s="205" t="s">
        <v>244</v>
      </c>
      <c r="H165" s="206" t="s">
        <v>13</v>
      </c>
    </row>
    <row r="166" spans="1:8" x14ac:dyDescent="0.35">
      <c r="A166" s="218"/>
      <c r="B166" s="3" t="str">
        <f>IF($A166="","",(LOOKUP($A166,'STEP 2-WQv Calculation'!$A$8:$A$37,'STEP 2-WQv Calculation'!$B$8:$B$37)))</f>
        <v/>
      </c>
      <c r="C166" s="3" t="str">
        <f>IF($A166="","",(LOOKUP($A166,'STEP 2-WQv Calculation'!$A$8:$A$37,'STEP 2-WQv Calculation'!$C$8:$C$37)))</f>
        <v/>
      </c>
      <c r="D166" s="212" t="str">
        <f>IF($A166="","",(LOOKUP($A166,'STEP 2-WQv Calculation'!$A$8:$A$37,'STEP 2-WQv Calculation'!$D$8:$D$37)))</f>
        <v/>
      </c>
      <c r="E166" s="3" t="str">
        <f>IF($A166="","",(LOOKUP($A166,'STEP 2-WQv Calculation'!$A$8:$A$37,'STEP 2-WQv Calculation'!$E$8:$E$37)))</f>
        <v/>
      </c>
      <c r="F166" s="217" t="str">
        <f>IF($A166="","",(LOOKUP($A166,'STEP 2-WQv Calculation'!$A$8:$A$37,'STEP 2-WQv Calculation'!$F$8:$F$37)))</f>
        <v/>
      </c>
      <c r="G166" s="22">
        <f>'STEP 2-WQv Calculation'!B59</f>
        <v>0</v>
      </c>
      <c r="H166" s="198" t="str">
        <f>IF($A166="","",(LOOKUP($A166,'STEP 2-WQv Calculation'!$A$8:$A$37,'STEP 2-WQv Calculation'!$G$8:$G$37)))</f>
        <v/>
      </c>
    </row>
    <row r="167" spans="1:8" ht="13" x14ac:dyDescent="0.35">
      <c r="A167" s="409" t="s">
        <v>226</v>
      </c>
      <c r="B167" s="410"/>
      <c r="C167" s="410"/>
      <c r="D167" s="410"/>
      <c r="E167" s="410"/>
      <c r="F167" s="410"/>
      <c r="G167" s="410"/>
      <c r="H167" s="411"/>
    </row>
    <row r="168" spans="1:8" x14ac:dyDescent="0.35">
      <c r="A168" s="242" t="s">
        <v>295</v>
      </c>
      <c r="B168" s="243"/>
      <c r="C168" s="244"/>
      <c r="D168" s="44"/>
      <c r="E168" s="322" t="str">
        <f>IF(D168="","",IF(D168&lt;0.5,"Does not meet design criteria",""))</f>
        <v/>
      </c>
      <c r="F168" s="323"/>
      <c r="G168" s="323"/>
      <c r="H168" s="324"/>
    </row>
    <row r="169" spans="1:8" x14ac:dyDescent="0.35">
      <c r="A169" s="242" t="s">
        <v>717</v>
      </c>
      <c r="B169" s="243"/>
      <c r="C169" s="244"/>
      <c r="D169" s="211"/>
      <c r="E169" s="322" t="str">
        <f>IF(D169="Yes","Two treatment practices in series required. Refer to Section 6.3.1","")</f>
        <v/>
      </c>
      <c r="F169" s="323"/>
      <c r="G169" s="323"/>
      <c r="H169" s="324"/>
    </row>
    <row r="170" spans="1:8" x14ac:dyDescent="0.35">
      <c r="A170" s="242" t="s">
        <v>718</v>
      </c>
      <c r="B170" s="243"/>
      <c r="C170" s="244"/>
      <c r="D170" s="211"/>
      <c r="E170" s="322" t="str">
        <f>IF(D170="","See Section 4.14 of the Design Manual",IF(D170="Yes","Does not meet design criteria",""))</f>
        <v>See Section 4.14 of the Design Manual</v>
      </c>
      <c r="F170" s="323"/>
      <c r="G170" s="323"/>
      <c r="H170" s="324"/>
    </row>
    <row r="171" spans="1:8" x14ac:dyDescent="0.35">
      <c r="A171" s="242" t="s">
        <v>516</v>
      </c>
      <c r="B171" s="243"/>
      <c r="C171" s="244"/>
      <c r="D171" s="227">
        <f>IF(D168&lt;0.5,0,IF(AND(D168&gt;5,D168&lt;=10,C166&lt;=15),25,IF(AND(D168&gt;10,C166&lt;=20),50,IF(C166&gt;20,0,IF(D168&gt;=0.5,10,IF(D168&lt;=5,10,IF(C166&lt;=10,10)))))))</f>
        <v>0</v>
      </c>
      <c r="E171" s="322"/>
      <c r="F171" s="323"/>
      <c r="G171" s="323"/>
      <c r="H171" s="324"/>
    </row>
    <row r="172" spans="1:8" x14ac:dyDescent="0.35">
      <c r="A172" s="242" t="s">
        <v>517</v>
      </c>
      <c r="B172" s="243"/>
      <c r="C172" s="244"/>
      <c r="D172" s="135" t="str">
        <f>IF(B166="","",IF(B166&gt;D171,"Yes","No"))</f>
        <v/>
      </c>
      <c r="E172" s="322" t="str">
        <f>IF(D172="","",IF(D172="Yes","Does not meet design criteria",""))</f>
        <v/>
      </c>
      <c r="F172" s="323"/>
      <c r="G172" s="323"/>
      <c r="H172" s="324"/>
    </row>
    <row r="173" spans="1:8" ht="14.5" x14ac:dyDescent="0.35">
      <c r="A173" s="242" t="s">
        <v>703</v>
      </c>
      <c r="B173" s="406"/>
      <c r="C173" s="407"/>
      <c r="D173" s="43"/>
      <c r="E173" s="322"/>
      <c r="F173" s="406"/>
      <c r="G173" s="406"/>
      <c r="H173" s="407"/>
    </row>
    <row r="174" spans="1:8" x14ac:dyDescent="0.35">
      <c r="A174" s="242" t="s">
        <v>296</v>
      </c>
      <c r="B174" s="243"/>
      <c r="C174" s="244"/>
      <c r="D174" s="43"/>
      <c r="E174" s="322" t="str">
        <f>IF(OR(AND(D173="Yes",D174&lt;4),AND(D173="No",D174&lt;2)),"Does not meet design criteria","")</f>
        <v/>
      </c>
      <c r="F174" s="323"/>
      <c r="G174" s="323"/>
      <c r="H174" s="324"/>
    </row>
    <row r="175" spans="1:8" x14ac:dyDescent="0.35">
      <c r="A175" s="242" t="s">
        <v>297</v>
      </c>
      <c r="B175" s="243"/>
      <c r="C175" s="244"/>
      <c r="D175" s="43"/>
      <c r="E175" s="322" t="str">
        <f>IF(D175="","",IF(D175&lt;2,"Does not meet design criteria",""))</f>
        <v/>
      </c>
      <c r="F175" s="323"/>
      <c r="G175" s="323"/>
      <c r="H175" s="324"/>
    </row>
    <row r="176" spans="1:8" x14ac:dyDescent="0.35">
      <c r="A176" s="242" t="s">
        <v>507</v>
      </c>
      <c r="B176" s="243"/>
      <c r="C176" s="244"/>
      <c r="D176" s="43"/>
      <c r="E176" s="322" t="str">
        <f>IF(D176="","",IF(AND(D168&lt;=10,D176&lt;(F166*0.25)),"Does not meet design criteria",IF(AND(D168&gt;10,D176&lt;(F166*0.5)),"Does not meet design criteria","")))</f>
        <v/>
      </c>
      <c r="F176" s="323"/>
      <c r="G176" s="323"/>
      <c r="H176" s="324"/>
    </row>
    <row r="177" spans="1:8" x14ac:dyDescent="0.35">
      <c r="A177" s="242" t="s">
        <v>518</v>
      </c>
      <c r="B177" s="243"/>
      <c r="C177" s="244"/>
      <c r="D177" s="43"/>
      <c r="E177" s="322" t="str">
        <f>IF(D177="","",IF(D177&lt;1,"Does not meet design criteria",""))</f>
        <v/>
      </c>
      <c r="F177" s="323"/>
      <c r="G177" s="323"/>
      <c r="H177" s="324"/>
    </row>
    <row r="178" spans="1:8" x14ac:dyDescent="0.35">
      <c r="A178" s="242" t="s">
        <v>519</v>
      </c>
      <c r="B178" s="243"/>
      <c r="C178" s="244"/>
      <c r="D178" s="43"/>
      <c r="E178" s="322" t="str">
        <f>IF(D178&gt;6,"Does not meet design criteria","")</f>
        <v/>
      </c>
      <c r="F178" s="323"/>
      <c r="G178" s="323"/>
      <c r="H178" s="324"/>
    </row>
    <row r="179" spans="1:8" ht="14.5" x14ac:dyDescent="0.35">
      <c r="A179" s="242" t="s">
        <v>705</v>
      </c>
      <c r="B179" s="406"/>
      <c r="C179" s="407"/>
      <c r="D179" s="43"/>
      <c r="E179" s="322" t="str">
        <f>IF(D179="","",IF(D179&lt;3,"Does not meet design criteria",""))</f>
        <v/>
      </c>
      <c r="F179" s="406"/>
      <c r="G179" s="406"/>
      <c r="H179" s="407"/>
    </row>
    <row r="180" spans="1:8" x14ac:dyDescent="0.35">
      <c r="A180" s="242" t="s">
        <v>520</v>
      </c>
      <c r="B180" s="243"/>
      <c r="C180" s="244"/>
      <c r="D180" s="43"/>
      <c r="E180" s="322" t="str">
        <f>IF(D180&gt;15,"Does not meet design criteria","")</f>
        <v/>
      </c>
      <c r="F180" s="323"/>
      <c r="G180" s="323"/>
      <c r="H180" s="324"/>
    </row>
    <row r="181" spans="1:8" x14ac:dyDescent="0.35">
      <c r="A181" s="242" t="s">
        <v>521</v>
      </c>
      <c r="B181" s="243"/>
      <c r="C181" s="244"/>
      <c r="D181" s="43"/>
      <c r="E181" s="322" t="str">
        <f>IF(D181="","",IF(D181&lt;12,"Does not meet design criteria",""))</f>
        <v/>
      </c>
      <c r="F181" s="323"/>
      <c r="G181" s="323"/>
      <c r="H181" s="324"/>
    </row>
    <row r="182" spans="1:8" ht="13" x14ac:dyDescent="0.35">
      <c r="A182" s="409" t="s">
        <v>232</v>
      </c>
      <c r="B182" s="410"/>
      <c r="C182" s="410"/>
      <c r="D182" s="410"/>
      <c r="E182" s="410"/>
      <c r="F182" s="410"/>
      <c r="G182" s="410"/>
      <c r="H182" s="411"/>
    </row>
    <row r="183" spans="1:8" x14ac:dyDescent="0.35">
      <c r="A183" s="378"/>
      <c r="B183" s="379"/>
      <c r="C183" s="380"/>
      <c r="D183" s="222" t="s">
        <v>256</v>
      </c>
      <c r="E183" s="208" t="s">
        <v>257</v>
      </c>
      <c r="F183" s="375" t="s">
        <v>258</v>
      </c>
      <c r="G183" s="376"/>
      <c r="H183" s="377"/>
    </row>
    <row r="184" spans="1:8" x14ac:dyDescent="0.35">
      <c r="A184" s="289" t="s">
        <v>302</v>
      </c>
      <c r="B184" s="289"/>
      <c r="C184" s="198" t="s">
        <v>303</v>
      </c>
      <c r="D184" s="212" t="str">
        <f>F166</f>
        <v/>
      </c>
      <c r="E184" s="193" t="s">
        <v>2</v>
      </c>
      <c r="F184" s="344"/>
      <c r="G184" s="344"/>
      <c r="H184" s="344"/>
    </row>
    <row r="185" spans="1:8" x14ac:dyDescent="0.35">
      <c r="A185" s="289" t="s">
        <v>522</v>
      </c>
      <c r="B185" s="289"/>
      <c r="C185" s="198" t="s">
        <v>523</v>
      </c>
      <c r="D185" s="153">
        <f>D178</f>
        <v>0</v>
      </c>
      <c r="E185" s="193" t="s">
        <v>271</v>
      </c>
      <c r="F185" s="344" t="str">
        <f>IF(D185&gt;6,"Does not meet design criteria","")</f>
        <v/>
      </c>
      <c r="G185" s="344"/>
      <c r="H185" s="344"/>
    </row>
    <row r="186" spans="1:8" x14ac:dyDescent="0.35">
      <c r="A186" s="334" t="s">
        <v>719</v>
      </c>
      <c r="B186" s="334"/>
      <c r="C186" s="217" t="s">
        <v>524</v>
      </c>
      <c r="D186" s="22" t="e">
        <f>ROUND(D184/D185,0)</f>
        <v>#VALUE!</v>
      </c>
      <c r="E186" s="144" t="s">
        <v>316</v>
      </c>
      <c r="F186" s="387"/>
      <c r="G186" s="388"/>
      <c r="H186" s="389"/>
    </row>
    <row r="187" spans="1:8" x14ac:dyDescent="0.35">
      <c r="A187" s="334" t="s">
        <v>720</v>
      </c>
      <c r="B187" s="334"/>
      <c r="C187" s="217" t="s">
        <v>524</v>
      </c>
      <c r="D187" s="218"/>
      <c r="E187" s="144" t="s">
        <v>316</v>
      </c>
      <c r="F187" s="387" t="str">
        <f>IF(D187="","",IF(D187&lt;D186,"Does not meet design criteria",IF(D187&lt;D185,"Does not meet design criteria","")))</f>
        <v/>
      </c>
      <c r="G187" s="388"/>
      <c r="H187" s="389"/>
    </row>
    <row r="188" spans="1:8" ht="13" x14ac:dyDescent="0.35">
      <c r="A188" s="412" t="s">
        <v>372</v>
      </c>
      <c r="B188" s="412"/>
      <c r="C188" s="412"/>
      <c r="D188" s="412"/>
      <c r="E188" s="412"/>
      <c r="F188" s="412"/>
      <c r="G188" s="412"/>
      <c r="H188" s="412"/>
    </row>
    <row r="189" spans="1:8" ht="13" x14ac:dyDescent="0.35">
      <c r="A189" s="335" t="s">
        <v>241</v>
      </c>
      <c r="B189" s="335"/>
      <c r="C189" s="9" t="str">
        <f>IF(A166="","",IF(D170="Yes",0,IF(D168&lt;0.5,0,IF(D172="Yes",0,IF(D174&lt;2,0,IF(D175&lt;2,0,IF(AND(D168&lt;=10,D176&lt;(F166*0.25)),0,IF(AND(D168&gt;10,D176&lt;(F166*0.5)),0,IF(D177&lt;1,0,IF(D178&gt;6,0,IF(D180&gt;15,0,IF(D181&lt;12,0,IF(D187&lt;D186,0,F166*1)))))))))))))</f>
        <v/>
      </c>
      <c r="D189" s="339" t="s">
        <v>2</v>
      </c>
      <c r="E189" s="340"/>
      <c r="F189" s="340"/>
      <c r="G189" s="340"/>
      <c r="H189" s="341"/>
    </row>
    <row r="190" spans="1:8" ht="13" x14ac:dyDescent="0.35">
      <c r="A190" s="16" t="s">
        <v>56</v>
      </c>
      <c r="B190" s="225" t="str">
        <f>IF('STEP 2-WQv Calculation'!$B$4="","",'STEP 2-WQv Calculation'!$B$4)</f>
        <v/>
      </c>
    </row>
    <row r="191" spans="1:8" ht="13" x14ac:dyDescent="0.35">
      <c r="A191" s="236" t="s">
        <v>293</v>
      </c>
      <c r="B191" s="237"/>
      <c r="C191" s="237"/>
      <c r="D191" s="237"/>
      <c r="E191" s="237"/>
      <c r="F191" s="237"/>
      <c r="G191" s="237"/>
      <c r="H191" s="238"/>
    </row>
    <row r="192" spans="1:8" ht="38.5" x14ac:dyDescent="0.35">
      <c r="A192" s="204" t="s">
        <v>60</v>
      </c>
      <c r="B192" s="205" t="s">
        <v>61</v>
      </c>
      <c r="C192" s="205" t="s">
        <v>62</v>
      </c>
      <c r="D192" s="205" t="s">
        <v>63</v>
      </c>
      <c r="E192" s="205" t="s">
        <v>64</v>
      </c>
      <c r="F192" s="205" t="s">
        <v>65</v>
      </c>
      <c r="G192" s="205" t="s">
        <v>244</v>
      </c>
      <c r="H192" s="206" t="s">
        <v>13</v>
      </c>
    </row>
    <row r="193" spans="1:8" x14ac:dyDescent="0.35">
      <c r="A193" s="218"/>
      <c r="B193" s="3" t="str">
        <f>IF($A193="","",(LOOKUP($A193,'STEP 2-WQv Calculation'!$A$8:$A$37,'STEP 2-WQv Calculation'!$B$8:$B$37)))</f>
        <v/>
      </c>
      <c r="C193" s="3" t="str">
        <f>IF($A193="","",(LOOKUP($A193,'STEP 2-WQv Calculation'!$A$8:$A$37,'STEP 2-WQv Calculation'!$C$8:$C$37)))</f>
        <v/>
      </c>
      <c r="D193" s="212" t="str">
        <f>IF($A193="","",(LOOKUP($A193,'STEP 2-WQv Calculation'!$A$8:$A$37,'STEP 2-WQv Calculation'!$D$8:$D$37)))</f>
        <v/>
      </c>
      <c r="E193" s="3" t="str">
        <f>IF($A193="","",(LOOKUP($A193,'STEP 2-WQv Calculation'!$A$8:$A$37,'STEP 2-WQv Calculation'!$E$8:$E$37)))</f>
        <v/>
      </c>
      <c r="F193" s="217" t="str">
        <f>IF($A193="","",(LOOKUP($A193,'STEP 2-WQv Calculation'!$A$8:$A$37,'STEP 2-WQv Calculation'!$F$8:$F$37)))</f>
        <v/>
      </c>
      <c r="G193" s="22">
        <f>'STEP 2-WQv Calculation'!B86</f>
        <v>0</v>
      </c>
      <c r="H193" s="198" t="str">
        <f>IF($A193="","",(LOOKUP($A193,'STEP 2-WQv Calculation'!$A$8:$A$37,'STEP 2-WQv Calculation'!$G$8:$G$37)))</f>
        <v/>
      </c>
    </row>
    <row r="194" spans="1:8" ht="13" x14ac:dyDescent="0.35">
      <c r="A194" s="409" t="s">
        <v>226</v>
      </c>
      <c r="B194" s="410"/>
      <c r="C194" s="410"/>
      <c r="D194" s="410"/>
      <c r="E194" s="410"/>
      <c r="F194" s="410"/>
      <c r="G194" s="410"/>
      <c r="H194" s="411"/>
    </row>
    <row r="195" spans="1:8" x14ac:dyDescent="0.35">
      <c r="A195" s="242" t="s">
        <v>295</v>
      </c>
      <c r="B195" s="243"/>
      <c r="C195" s="244"/>
      <c r="D195" s="44"/>
      <c r="E195" s="322" t="str">
        <f>IF(D195="","",IF(D195&lt;0.5,"Does not meet design criteria",""))</f>
        <v/>
      </c>
      <c r="F195" s="323"/>
      <c r="G195" s="323"/>
      <c r="H195" s="324"/>
    </row>
    <row r="196" spans="1:8" x14ac:dyDescent="0.35">
      <c r="A196" s="242" t="s">
        <v>717</v>
      </c>
      <c r="B196" s="243"/>
      <c r="C196" s="244"/>
      <c r="D196" s="211"/>
      <c r="E196" s="322" t="str">
        <f>IF(D196="Yes","Two treatment practices in series required. Refer to Section 6.3.1","")</f>
        <v/>
      </c>
      <c r="F196" s="323"/>
      <c r="G196" s="323"/>
      <c r="H196" s="324"/>
    </row>
    <row r="197" spans="1:8" x14ac:dyDescent="0.35">
      <c r="A197" s="242" t="s">
        <v>718</v>
      </c>
      <c r="B197" s="243"/>
      <c r="C197" s="244"/>
      <c r="D197" s="211"/>
      <c r="E197" s="322" t="str">
        <f>IF(D197="","See Section 4.14 of the Design Manual",IF(D197="Yes","Does not meet design criteria",""))</f>
        <v>See Section 4.14 of the Design Manual</v>
      </c>
      <c r="F197" s="323"/>
      <c r="G197" s="323"/>
      <c r="H197" s="324"/>
    </row>
    <row r="198" spans="1:8" x14ac:dyDescent="0.35">
      <c r="A198" s="242" t="s">
        <v>516</v>
      </c>
      <c r="B198" s="243"/>
      <c r="C198" s="244"/>
      <c r="D198" s="227">
        <f>IF(D195&lt;0.5,0,IF(AND(D195&gt;5,D195&lt;=10,C193&lt;=15),25,IF(AND(D195&gt;10,C193&lt;=20),50,IF(C193&gt;20,0,IF(D195&gt;=0.5,10,IF(D195&lt;=5,10,IF(C193&lt;=10,10)))))))</f>
        <v>0</v>
      </c>
      <c r="E198" s="322"/>
      <c r="F198" s="323"/>
      <c r="G198" s="323"/>
      <c r="H198" s="324"/>
    </row>
    <row r="199" spans="1:8" x14ac:dyDescent="0.35">
      <c r="A199" s="242" t="s">
        <v>517</v>
      </c>
      <c r="B199" s="243"/>
      <c r="C199" s="244"/>
      <c r="D199" s="135" t="str">
        <f>IF(B193="","",IF(B193&gt;D198,"Yes","No"))</f>
        <v/>
      </c>
      <c r="E199" s="322" t="str">
        <f>IF(D199="","",IF(D199="Yes","Does not meet design criteria",""))</f>
        <v/>
      </c>
      <c r="F199" s="323"/>
      <c r="G199" s="323"/>
      <c r="H199" s="324"/>
    </row>
    <row r="200" spans="1:8" ht="14.5" x14ac:dyDescent="0.35">
      <c r="A200" s="242" t="s">
        <v>703</v>
      </c>
      <c r="B200" s="406"/>
      <c r="C200" s="407"/>
      <c r="D200" s="43"/>
      <c r="E200" s="322"/>
      <c r="F200" s="406"/>
      <c r="G200" s="406"/>
      <c r="H200" s="407"/>
    </row>
    <row r="201" spans="1:8" x14ac:dyDescent="0.35">
      <c r="A201" s="242" t="s">
        <v>296</v>
      </c>
      <c r="B201" s="243"/>
      <c r="C201" s="244"/>
      <c r="D201" s="43"/>
      <c r="E201" s="322" t="str">
        <f>IF(OR(AND(D200="Yes",D201&lt;4),AND(D200="No",D201&lt;2)),"Does not meet design criteria","")</f>
        <v/>
      </c>
      <c r="F201" s="323"/>
      <c r="G201" s="323"/>
      <c r="H201" s="324"/>
    </row>
    <row r="202" spans="1:8" x14ac:dyDescent="0.35">
      <c r="A202" s="242" t="s">
        <v>297</v>
      </c>
      <c r="B202" s="243"/>
      <c r="C202" s="244"/>
      <c r="D202" s="43"/>
      <c r="E202" s="322" t="str">
        <f>IF(D202="","",IF(D202&lt;2,"Does not meet design criteria",""))</f>
        <v/>
      </c>
      <c r="F202" s="323"/>
      <c r="G202" s="323"/>
      <c r="H202" s="324"/>
    </row>
    <row r="203" spans="1:8" x14ac:dyDescent="0.35">
      <c r="A203" s="242" t="s">
        <v>507</v>
      </c>
      <c r="B203" s="243"/>
      <c r="C203" s="244"/>
      <c r="D203" s="43"/>
      <c r="E203" s="322" t="str">
        <f>IF(D203="","",IF(AND(D195&lt;=10,D203&lt;(F193*0.25)),"Does not meet design criteria",IF(AND(D195&gt;10,D203&lt;(F193*0.5)),"Does not meet design criteria","")))</f>
        <v/>
      </c>
      <c r="F203" s="323"/>
      <c r="G203" s="323"/>
      <c r="H203" s="324"/>
    </row>
    <row r="204" spans="1:8" x14ac:dyDescent="0.35">
      <c r="A204" s="242" t="s">
        <v>518</v>
      </c>
      <c r="B204" s="243"/>
      <c r="C204" s="244"/>
      <c r="D204" s="43"/>
      <c r="E204" s="322" t="str">
        <f>IF(D204="","",IF(D204&lt;1,"Does not meet design criteria",""))</f>
        <v/>
      </c>
      <c r="F204" s="323"/>
      <c r="G204" s="323"/>
      <c r="H204" s="324"/>
    </row>
    <row r="205" spans="1:8" x14ac:dyDescent="0.35">
      <c r="A205" s="242" t="s">
        <v>519</v>
      </c>
      <c r="B205" s="243"/>
      <c r="C205" s="244"/>
      <c r="D205" s="43"/>
      <c r="E205" s="322" t="str">
        <f>IF(D205&gt;6,"Does not meet design criteria","")</f>
        <v/>
      </c>
      <c r="F205" s="323"/>
      <c r="G205" s="323"/>
      <c r="H205" s="324"/>
    </row>
    <row r="206" spans="1:8" ht="14.5" x14ac:dyDescent="0.35">
      <c r="A206" s="242" t="s">
        <v>705</v>
      </c>
      <c r="B206" s="406"/>
      <c r="C206" s="407"/>
      <c r="D206" s="43"/>
      <c r="E206" s="322" t="str">
        <f>IF(D206="","",IF(D206&lt;3,"Does not meet design criteria",""))</f>
        <v/>
      </c>
      <c r="F206" s="406"/>
      <c r="G206" s="406"/>
      <c r="H206" s="407"/>
    </row>
    <row r="207" spans="1:8" x14ac:dyDescent="0.35">
      <c r="A207" s="242" t="s">
        <v>520</v>
      </c>
      <c r="B207" s="243"/>
      <c r="C207" s="244"/>
      <c r="D207" s="43"/>
      <c r="E207" s="322" t="str">
        <f>IF(D207&gt;15,"Does not meet design criteria","")</f>
        <v/>
      </c>
      <c r="F207" s="323"/>
      <c r="G207" s="323"/>
      <c r="H207" s="324"/>
    </row>
    <row r="208" spans="1:8" x14ac:dyDescent="0.35">
      <c r="A208" s="242" t="s">
        <v>521</v>
      </c>
      <c r="B208" s="243"/>
      <c r="C208" s="244"/>
      <c r="D208" s="43"/>
      <c r="E208" s="322" t="str">
        <f>IF(D208="","",IF(D208&lt;12,"Does not meet design criteria",""))</f>
        <v/>
      </c>
      <c r="F208" s="323"/>
      <c r="G208" s="323"/>
      <c r="H208" s="324"/>
    </row>
    <row r="209" spans="1:8" ht="13" x14ac:dyDescent="0.35">
      <c r="A209" s="409" t="s">
        <v>232</v>
      </c>
      <c r="B209" s="410"/>
      <c r="C209" s="410"/>
      <c r="D209" s="410"/>
      <c r="E209" s="410"/>
      <c r="F209" s="410"/>
      <c r="G209" s="410"/>
      <c r="H209" s="411"/>
    </row>
    <row r="210" spans="1:8" x14ac:dyDescent="0.35">
      <c r="A210" s="378"/>
      <c r="B210" s="379"/>
      <c r="C210" s="380"/>
      <c r="D210" s="222" t="s">
        <v>256</v>
      </c>
      <c r="E210" s="208" t="s">
        <v>257</v>
      </c>
      <c r="F210" s="375" t="s">
        <v>258</v>
      </c>
      <c r="G210" s="376"/>
      <c r="H210" s="377"/>
    </row>
    <row r="211" spans="1:8" x14ac:dyDescent="0.35">
      <c r="A211" s="289" t="s">
        <v>302</v>
      </c>
      <c r="B211" s="289"/>
      <c r="C211" s="198" t="s">
        <v>303</v>
      </c>
      <c r="D211" s="212" t="str">
        <f>F193</f>
        <v/>
      </c>
      <c r="E211" s="193" t="s">
        <v>2</v>
      </c>
      <c r="F211" s="344"/>
      <c r="G211" s="344"/>
      <c r="H211" s="344"/>
    </row>
    <row r="212" spans="1:8" x14ac:dyDescent="0.35">
      <c r="A212" s="289" t="s">
        <v>522</v>
      </c>
      <c r="B212" s="289"/>
      <c r="C212" s="198" t="s">
        <v>523</v>
      </c>
      <c r="D212" s="153">
        <f>D205</f>
        <v>0</v>
      </c>
      <c r="E212" s="193" t="s">
        <v>271</v>
      </c>
      <c r="F212" s="344" t="str">
        <f>IF(D212&gt;6,"Does not meet design criteria","")</f>
        <v/>
      </c>
      <c r="G212" s="344"/>
      <c r="H212" s="344"/>
    </row>
    <row r="213" spans="1:8" x14ac:dyDescent="0.35">
      <c r="A213" s="334" t="s">
        <v>719</v>
      </c>
      <c r="B213" s="334"/>
      <c r="C213" s="217" t="s">
        <v>524</v>
      </c>
      <c r="D213" s="22" t="e">
        <f>ROUND(D211/D212,0)</f>
        <v>#VALUE!</v>
      </c>
      <c r="E213" s="144" t="s">
        <v>316</v>
      </c>
      <c r="F213" s="387"/>
      <c r="G213" s="388"/>
      <c r="H213" s="389"/>
    </row>
    <row r="214" spans="1:8" x14ac:dyDescent="0.35">
      <c r="A214" s="334" t="s">
        <v>720</v>
      </c>
      <c r="B214" s="334"/>
      <c r="C214" s="217" t="s">
        <v>524</v>
      </c>
      <c r="D214" s="218"/>
      <c r="E214" s="144" t="s">
        <v>316</v>
      </c>
      <c r="F214" s="387" t="str">
        <f>IF(D214="","",IF(D214&lt;D213,"Does not meet design criteria",IF(D214&lt;D212,"Does not meet design criteria","")))</f>
        <v/>
      </c>
      <c r="G214" s="388"/>
      <c r="H214" s="389"/>
    </row>
    <row r="215" spans="1:8" ht="13" x14ac:dyDescent="0.35">
      <c r="A215" s="412" t="s">
        <v>372</v>
      </c>
      <c r="B215" s="412"/>
      <c r="C215" s="412"/>
      <c r="D215" s="412"/>
      <c r="E215" s="412"/>
      <c r="F215" s="412"/>
      <c r="G215" s="412"/>
      <c r="H215" s="412"/>
    </row>
    <row r="216" spans="1:8" ht="13" x14ac:dyDescent="0.35">
      <c r="A216" s="335" t="s">
        <v>241</v>
      </c>
      <c r="B216" s="335"/>
      <c r="C216" s="9" t="str">
        <f>IF(A193="","",IF(D197="Yes",0,IF(D195&lt;0.5,0,IF(D199="Yes",0,IF(D201&lt;2,0,IF(D202&lt;2,0,IF(AND(D195&lt;=10,D203&lt;(F193*0.25)),0,IF(AND(D195&gt;10,D203&lt;(F193*0.5)),0,IF(D204&lt;1,0,IF(D205&gt;6,0,IF(D207&gt;15,0,IF(D208&lt;12,0,IF(D214&lt;D213,0,F193*1)))))))))))))</f>
        <v/>
      </c>
      <c r="D216" s="339" t="s">
        <v>2</v>
      </c>
      <c r="E216" s="340"/>
      <c r="F216" s="340"/>
      <c r="G216" s="340"/>
      <c r="H216" s="341"/>
    </row>
    <row r="217" spans="1:8" ht="13" x14ac:dyDescent="0.35">
      <c r="A217" s="16" t="s">
        <v>56</v>
      </c>
      <c r="B217" s="225" t="str">
        <f>IF('STEP 2-WQv Calculation'!$B$4="","",'STEP 2-WQv Calculation'!$B$4)</f>
        <v/>
      </c>
    </row>
    <row r="218" spans="1:8" ht="13" x14ac:dyDescent="0.35">
      <c r="A218" s="236" t="s">
        <v>293</v>
      </c>
      <c r="B218" s="237"/>
      <c r="C218" s="237"/>
      <c r="D218" s="237"/>
      <c r="E218" s="237"/>
      <c r="F218" s="237"/>
      <c r="G218" s="237"/>
      <c r="H218" s="238"/>
    </row>
    <row r="219" spans="1:8" ht="38.5" x14ac:dyDescent="0.35">
      <c r="A219" s="204" t="s">
        <v>60</v>
      </c>
      <c r="B219" s="205" t="s">
        <v>61</v>
      </c>
      <c r="C219" s="205" t="s">
        <v>62</v>
      </c>
      <c r="D219" s="205" t="s">
        <v>63</v>
      </c>
      <c r="E219" s="205" t="s">
        <v>64</v>
      </c>
      <c r="F219" s="205" t="s">
        <v>65</v>
      </c>
      <c r="G219" s="205" t="s">
        <v>244</v>
      </c>
      <c r="H219" s="206" t="s">
        <v>13</v>
      </c>
    </row>
    <row r="220" spans="1:8" x14ac:dyDescent="0.35">
      <c r="A220" s="218"/>
      <c r="B220" s="3" t="str">
        <f>IF($A220="","",(LOOKUP($A220,'STEP 2-WQv Calculation'!$A$8:$A$37,'STEP 2-WQv Calculation'!$B$8:$B$37)))</f>
        <v/>
      </c>
      <c r="C220" s="3" t="str">
        <f>IF($A220="","",(LOOKUP($A220,'STEP 2-WQv Calculation'!$A$8:$A$37,'STEP 2-WQv Calculation'!$C$8:$C$37)))</f>
        <v/>
      </c>
      <c r="D220" s="212" t="str">
        <f>IF($A220="","",(LOOKUP($A220,'STEP 2-WQv Calculation'!$A$8:$A$37,'STEP 2-WQv Calculation'!$D$8:$D$37)))</f>
        <v/>
      </c>
      <c r="E220" s="3" t="str">
        <f>IF($A220="","",(LOOKUP($A220,'STEP 2-WQv Calculation'!$A$8:$A$37,'STEP 2-WQv Calculation'!$E$8:$E$37)))</f>
        <v/>
      </c>
      <c r="F220" s="217" t="str">
        <f>IF($A220="","",(LOOKUP($A220,'STEP 2-WQv Calculation'!$A$8:$A$37,'STEP 2-WQv Calculation'!$F$8:$F$37)))</f>
        <v/>
      </c>
      <c r="G220" s="22">
        <f>'STEP 2-WQv Calculation'!B113</f>
        <v>0</v>
      </c>
      <c r="H220" s="198" t="str">
        <f>IF($A220="","",(LOOKUP($A220,'STEP 2-WQv Calculation'!$A$8:$A$37,'STEP 2-WQv Calculation'!$G$8:$G$37)))</f>
        <v/>
      </c>
    </row>
    <row r="221" spans="1:8" ht="13" x14ac:dyDescent="0.35">
      <c r="A221" s="409" t="s">
        <v>226</v>
      </c>
      <c r="B221" s="410"/>
      <c r="C221" s="410"/>
      <c r="D221" s="410"/>
      <c r="E221" s="410"/>
      <c r="F221" s="410"/>
      <c r="G221" s="410"/>
      <c r="H221" s="411"/>
    </row>
    <row r="222" spans="1:8" x14ac:dyDescent="0.35">
      <c r="A222" s="242" t="s">
        <v>295</v>
      </c>
      <c r="B222" s="243"/>
      <c r="C222" s="244"/>
      <c r="D222" s="44"/>
      <c r="E222" s="322" t="str">
        <f>IF(D222="","",IF(D222&lt;0.5,"Does not meet design criteria",""))</f>
        <v/>
      </c>
      <c r="F222" s="323"/>
      <c r="G222" s="323"/>
      <c r="H222" s="324"/>
    </row>
    <row r="223" spans="1:8" x14ac:dyDescent="0.35">
      <c r="A223" s="242" t="s">
        <v>717</v>
      </c>
      <c r="B223" s="243"/>
      <c r="C223" s="244"/>
      <c r="D223" s="211"/>
      <c r="E223" s="322" t="str">
        <f>IF(D223="Yes","Two treatment practices in series required. Refer to Section 6.3.1","")</f>
        <v/>
      </c>
      <c r="F223" s="323"/>
      <c r="G223" s="323"/>
      <c r="H223" s="324"/>
    </row>
    <row r="224" spans="1:8" x14ac:dyDescent="0.35">
      <c r="A224" s="242" t="s">
        <v>718</v>
      </c>
      <c r="B224" s="243"/>
      <c r="C224" s="244"/>
      <c r="D224" s="211"/>
      <c r="E224" s="322" t="str">
        <f>IF(D224="","See Section 4.14 of the Design Manual",IF(D224="Yes","Does not meet design criteria",""))</f>
        <v>See Section 4.14 of the Design Manual</v>
      </c>
      <c r="F224" s="323"/>
      <c r="G224" s="323"/>
      <c r="H224" s="324"/>
    </row>
    <row r="225" spans="1:8" x14ac:dyDescent="0.35">
      <c r="A225" s="242" t="s">
        <v>516</v>
      </c>
      <c r="B225" s="243"/>
      <c r="C225" s="244"/>
      <c r="D225" s="227">
        <f>IF(D222&lt;0.5,0,IF(AND(D222&gt;5,D222&lt;=10,C220&lt;=15),25,IF(AND(D222&gt;10,C220&lt;=20),50,IF(C220&gt;20,0,IF(D222&gt;=0.5,10,IF(D222&lt;=5,10,IF(C220&lt;=10,10)))))))</f>
        <v>0</v>
      </c>
      <c r="E225" s="322"/>
      <c r="F225" s="323"/>
      <c r="G225" s="323"/>
      <c r="H225" s="324"/>
    </row>
    <row r="226" spans="1:8" x14ac:dyDescent="0.35">
      <c r="A226" s="242" t="s">
        <v>517</v>
      </c>
      <c r="B226" s="243"/>
      <c r="C226" s="244"/>
      <c r="D226" s="135" t="str">
        <f>IF(B220="","",IF(B220&gt;D225,"Yes","No"))</f>
        <v/>
      </c>
      <c r="E226" s="322" t="str">
        <f>IF(D226="","",IF(D226="Yes","Does not meet design criteria",""))</f>
        <v/>
      </c>
      <c r="F226" s="323"/>
      <c r="G226" s="323"/>
      <c r="H226" s="324"/>
    </row>
    <row r="227" spans="1:8" ht="14.5" x14ac:dyDescent="0.35">
      <c r="A227" s="242" t="s">
        <v>703</v>
      </c>
      <c r="B227" s="406"/>
      <c r="C227" s="407"/>
      <c r="D227" s="43"/>
      <c r="E227" s="322"/>
      <c r="F227" s="406"/>
      <c r="G227" s="406"/>
      <c r="H227" s="407"/>
    </row>
    <row r="228" spans="1:8" x14ac:dyDescent="0.35">
      <c r="A228" s="242" t="s">
        <v>296</v>
      </c>
      <c r="B228" s="243"/>
      <c r="C228" s="244"/>
      <c r="D228" s="43"/>
      <c r="E228" s="322" t="str">
        <f>IF(OR(AND(D227="Yes",D228&lt;4),AND(D227="No",D228&lt;2)),"Does not meet design criteria","")</f>
        <v/>
      </c>
      <c r="F228" s="323"/>
      <c r="G228" s="323"/>
      <c r="H228" s="324"/>
    </row>
    <row r="229" spans="1:8" x14ac:dyDescent="0.35">
      <c r="A229" s="242" t="s">
        <v>297</v>
      </c>
      <c r="B229" s="243"/>
      <c r="C229" s="244"/>
      <c r="D229" s="43"/>
      <c r="E229" s="322" t="str">
        <f>IF(D229="","",IF(D229&lt;2,"Does not meet design criteria",""))</f>
        <v/>
      </c>
      <c r="F229" s="323"/>
      <c r="G229" s="323"/>
      <c r="H229" s="324"/>
    </row>
    <row r="230" spans="1:8" x14ac:dyDescent="0.35">
      <c r="A230" s="242" t="s">
        <v>507</v>
      </c>
      <c r="B230" s="243"/>
      <c r="C230" s="244"/>
      <c r="D230" s="43"/>
      <c r="E230" s="322" t="str">
        <f>IF(D230="","",IF(AND(D222&lt;=10,D230&lt;(F220*0.25)),"Does not meet design criteria",IF(AND(D222&gt;10,D230&lt;(F220*0.5)),"Does not meet design criteria","")))</f>
        <v/>
      </c>
      <c r="F230" s="323"/>
      <c r="G230" s="323"/>
      <c r="H230" s="324"/>
    </row>
    <row r="231" spans="1:8" x14ac:dyDescent="0.35">
      <c r="A231" s="242" t="s">
        <v>518</v>
      </c>
      <c r="B231" s="243"/>
      <c r="C231" s="244"/>
      <c r="D231" s="43"/>
      <c r="E231" s="322" t="str">
        <f>IF(D231="","",IF(D231&lt;1,"Does not meet design criteria",""))</f>
        <v/>
      </c>
      <c r="F231" s="323"/>
      <c r="G231" s="323"/>
      <c r="H231" s="324"/>
    </row>
    <row r="232" spans="1:8" x14ac:dyDescent="0.35">
      <c r="A232" s="242" t="s">
        <v>519</v>
      </c>
      <c r="B232" s="243"/>
      <c r="C232" s="244"/>
      <c r="D232" s="43"/>
      <c r="E232" s="322" t="str">
        <f>IF(D232&gt;6,"Does not meet design criteria","")</f>
        <v/>
      </c>
      <c r="F232" s="323"/>
      <c r="G232" s="323"/>
      <c r="H232" s="324"/>
    </row>
    <row r="233" spans="1:8" ht="14.5" x14ac:dyDescent="0.35">
      <c r="A233" s="242" t="s">
        <v>705</v>
      </c>
      <c r="B233" s="406"/>
      <c r="C233" s="407"/>
      <c r="D233" s="43"/>
      <c r="E233" s="322" t="str">
        <f>IF(D233="","",IF(D233&lt;3,"Does not meet design criteria",""))</f>
        <v/>
      </c>
      <c r="F233" s="406"/>
      <c r="G233" s="406"/>
      <c r="H233" s="407"/>
    </row>
    <row r="234" spans="1:8" x14ac:dyDescent="0.35">
      <c r="A234" s="242" t="s">
        <v>520</v>
      </c>
      <c r="B234" s="243"/>
      <c r="C234" s="244"/>
      <c r="D234" s="43"/>
      <c r="E234" s="322" t="str">
        <f>IF(D234&gt;15,"Does not meet design criteria","")</f>
        <v/>
      </c>
      <c r="F234" s="323"/>
      <c r="G234" s="323"/>
      <c r="H234" s="324"/>
    </row>
    <row r="235" spans="1:8" x14ac:dyDescent="0.35">
      <c r="A235" s="242" t="s">
        <v>521</v>
      </c>
      <c r="B235" s="243"/>
      <c r="C235" s="244"/>
      <c r="D235" s="43"/>
      <c r="E235" s="322" t="str">
        <f>IF(D235="","",IF(D235&lt;12,"Does not meet design criteria",""))</f>
        <v/>
      </c>
      <c r="F235" s="323"/>
      <c r="G235" s="323"/>
      <c r="H235" s="324"/>
    </row>
    <row r="236" spans="1:8" ht="13" x14ac:dyDescent="0.35">
      <c r="A236" s="409" t="s">
        <v>232</v>
      </c>
      <c r="B236" s="410"/>
      <c r="C236" s="410"/>
      <c r="D236" s="410"/>
      <c r="E236" s="410"/>
      <c r="F236" s="410"/>
      <c r="G236" s="410"/>
      <c r="H236" s="411"/>
    </row>
    <row r="237" spans="1:8" x14ac:dyDescent="0.35">
      <c r="A237" s="378"/>
      <c r="B237" s="379"/>
      <c r="C237" s="380"/>
      <c r="D237" s="222" t="s">
        <v>256</v>
      </c>
      <c r="E237" s="208" t="s">
        <v>257</v>
      </c>
      <c r="F237" s="375" t="s">
        <v>258</v>
      </c>
      <c r="G237" s="376"/>
      <c r="H237" s="377"/>
    </row>
    <row r="238" spans="1:8" x14ac:dyDescent="0.35">
      <c r="A238" s="289" t="s">
        <v>302</v>
      </c>
      <c r="B238" s="289"/>
      <c r="C238" s="198" t="s">
        <v>303</v>
      </c>
      <c r="D238" s="212" t="str">
        <f>F220</f>
        <v/>
      </c>
      <c r="E238" s="193" t="s">
        <v>2</v>
      </c>
      <c r="F238" s="344"/>
      <c r="G238" s="344"/>
      <c r="H238" s="344"/>
    </row>
    <row r="239" spans="1:8" x14ac:dyDescent="0.35">
      <c r="A239" s="289" t="s">
        <v>522</v>
      </c>
      <c r="B239" s="289"/>
      <c r="C239" s="198" t="s">
        <v>523</v>
      </c>
      <c r="D239" s="153">
        <f>D232</f>
        <v>0</v>
      </c>
      <c r="E239" s="193" t="s">
        <v>271</v>
      </c>
      <c r="F239" s="344" t="str">
        <f>IF(D239&gt;6,"Does not meet design criteria","")</f>
        <v/>
      </c>
      <c r="G239" s="344"/>
      <c r="H239" s="344"/>
    </row>
    <row r="240" spans="1:8" x14ac:dyDescent="0.35">
      <c r="A240" s="334" t="s">
        <v>719</v>
      </c>
      <c r="B240" s="334"/>
      <c r="C240" s="217" t="s">
        <v>524</v>
      </c>
      <c r="D240" s="22" t="e">
        <f>ROUND(D238/D239,0)</f>
        <v>#VALUE!</v>
      </c>
      <c r="E240" s="144" t="s">
        <v>316</v>
      </c>
      <c r="F240" s="387"/>
      <c r="G240" s="388"/>
      <c r="H240" s="389"/>
    </row>
    <row r="241" spans="1:8" x14ac:dyDescent="0.35">
      <c r="A241" s="334" t="s">
        <v>720</v>
      </c>
      <c r="B241" s="334"/>
      <c r="C241" s="217" t="s">
        <v>524</v>
      </c>
      <c r="D241" s="218"/>
      <c r="E241" s="144" t="s">
        <v>316</v>
      </c>
      <c r="F241" s="387" t="str">
        <f>IF(D241="","",IF(D241&lt;D240,"Does not meet design criteria",IF(D241&lt;D239,"Does not meet design criteria","")))</f>
        <v/>
      </c>
      <c r="G241" s="388"/>
      <c r="H241" s="389"/>
    </row>
    <row r="242" spans="1:8" ht="13" x14ac:dyDescent="0.35">
      <c r="A242" s="412" t="s">
        <v>372</v>
      </c>
      <c r="B242" s="412"/>
      <c r="C242" s="412"/>
      <c r="D242" s="412"/>
      <c r="E242" s="412"/>
      <c r="F242" s="412"/>
      <c r="G242" s="412"/>
      <c r="H242" s="412"/>
    </row>
    <row r="243" spans="1:8" ht="13" x14ac:dyDescent="0.35">
      <c r="A243" s="335" t="s">
        <v>241</v>
      </c>
      <c r="B243" s="335"/>
      <c r="C243" s="9" t="str">
        <f>IF(A220="","",IF(D224="Yes",0,IF(D222&lt;0.5,0,IF(D226="Yes",0,IF(D228&lt;2,0,IF(D229&lt;2,0,IF(AND(D222&lt;=10,D230&lt;(F220*0.25)),0,IF(AND(D222&gt;10,D230&lt;(F220*0.5)),0,IF(D231&lt;1,0,IF(D232&gt;6,0,IF(D234&gt;15,0,IF(D235&lt;12,0,IF(D241&lt;D240,0,F220*1)))))))))))))</f>
        <v/>
      </c>
      <c r="D243" s="339" t="s">
        <v>2</v>
      </c>
      <c r="E243" s="340"/>
      <c r="F243" s="340"/>
      <c r="G243" s="340"/>
      <c r="H243" s="341"/>
    </row>
    <row r="244" spans="1:8" ht="13" x14ac:dyDescent="0.35">
      <c r="A244" s="16" t="s">
        <v>56</v>
      </c>
      <c r="B244" s="225" t="str">
        <f>IF('STEP 2-WQv Calculation'!$B$4="","",'STEP 2-WQv Calculation'!$B$4)</f>
        <v/>
      </c>
    </row>
    <row r="245" spans="1:8" ht="13" x14ac:dyDescent="0.35">
      <c r="A245" s="236" t="s">
        <v>293</v>
      </c>
      <c r="B245" s="237"/>
      <c r="C245" s="237"/>
      <c r="D245" s="237"/>
      <c r="E245" s="237"/>
      <c r="F245" s="237"/>
      <c r="G245" s="237"/>
      <c r="H245" s="238"/>
    </row>
    <row r="246" spans="1:8" ht="38.5" x14ac:dyDescent="0.35">
      <c r="A246" s="204" t="s">
        <v>60</v>
      </c>
      <c r="B246" s="205" t="s">
        <v>61</v>
      </c>
      <c r="C246" s="205" t="s">
        <v>62</v>
      </c>
      <c r="D246" s="205" t="s">
        <v>63</v>
      </c>
      <c r="E246" s="205" t="s">
        <v>64</v>
      </c>
      <c r="F246" s="205" t="s">
        <v>65</v>
      </c>
      <c r="G246" s="205" t="s">
        <v>244</v>
      </c>
      <c r="H246" s="206" t="s">
        <v>13</v>
      </c>
    </row>
    <row r="247" spans="1:8" x14ac:dyDescent="0.35">
      <c r="A247" s="218"/>
      <c r="B247" s="3" t="str">
        <f>IF($A247="","",(LOOKUP($A247,'STEP 2-WQv Calculation'!$A$8:$A$37,'STEP 2-WQv Calculation'!$B$8:$B$37)))</f>
        <v/>
      </c>
      <c r="C247" s="3" t="str">
        <f>IF($A247="","",(LOOKUP($A247,'STEP 2-WQv Calculation'!$A$8:$A$37,'STEP 2-WQv Calculation'!$C$8:$C$37)))</f>
        <v/>
      </c>
      <c r="D247" s="212" t="str">
        <f>IF($A247="","",(LOOKUP($A247,'STEP 2-WQv Calculation'!$A$8:$A$37,'STEP 2-WQv Calculation'!$D$8:$D$37)))</f>
        <v/>
      </c>
      <c r="E247" s="3" t="str">
        <f>IF($A247="","",(LOOKUP($A247,'STEP 2-WQv Calculation'!$A$8:$A$37,'STEP 2-WQv Calculation'!$E$8:$E$37)))</f>
        <v/>
      </c>
      <c r="F247" s="217" t="str">
        <f>IF($A247="","",(LOOKUP($A247,'STEP 2-WQv Calculation'!$A$8:$A$37,'STEP 2-WQv Calculation'!$F$8:$F$37)))</f>
        <v/>
      </c>
      <c r="G247" s="22">
        <f>'STEP 2-WQv Calculation'!B140</f>
        <v>0</v>
      </c>
      <c r="H247" s="198" t="str">
        <f>IF($A247="","",(LOOKUP($A247,'STEP 2-WQv Calculation'!$A$8:$A$37,'STEP 2-WQv Calculation'!$G$8:$G$37)))</f>
        <v/>
      </c>
    </row>
    <row r="248" spans="1:8" ht="13" x14ac:dyDescent="0.35">
      <c r="A248" s="409" t="s">
        <v>226</v>
      </c>
      <c r="B248" s="410"/>
      <c r="C248" s="410"/>
      <c r="D248" s="410"/>
      <c r="E248" s="410"/>
      <c r="F248" s="410"/>
      <c r="G248" s="410"/>
      <c r="H248" s="411"/>
    </row>
    <row r="249" spans="1:8" x14ac:dyDescent="0.35">
      <c r="A249" s="242" t="s">
        <v>295</v>
      </c>
      <c r="B249" s="243"/>
      <c r="C249" s="244"/>
      <c r="D249" s="44"/>
      <c r="E249" s="322" t="str">
        <f>IF(D249="","",IF(D249&lt;0.5,"Does not meet design criteria",""))</f>
        <v/>
      </c>
      <c r="F249" s="323"/>
      <c r="G249" s="323"/>
      <c r="H249" s="324"/>
    </row>
    <row r="250" spans="1:8" x14ac:dyDescent="0.35">
      <c r="A250" s="242" t="s">
        <v>717</v>
      </c>
      <c r="B250" s="243"/>
      <c r="C250" s="244"/>
      <c r="D250" s="211"/>
      <c r="E250" s="322" t="str">
        <f>IF(D250="Yes","Two treatment practices in series required. Refer to Section 6.3.1","")</f>
        <v/>
      </c>
      <c r="F250" s="323"/>
      <c r="G250" s="323"/>
      <c r="H250" s="324"/>
    </row>
    <row r="251" spans="1:8" x14ac:dyDescent="0.35">
      <c r="A251" s="242" t="s">
        <v>718</v>
      </c>
      <c r="B251" s="243"/>
      <c r="C251" s="244"/>
      <c r="D251" s="211"/>
      <c r="E251" s="322" t="str">
        <f>IF(D251="","See Section 4.14 of the Design Manual",IF(D251="Yes","Does not meet design criteria",""))</f>
        <v>See Section 4.14 of the Design Manual</v>
      </c>
      <c r="F251" s="323"/>
      <c r="G251" s="323"/>
      <c r="H251" s="324"/>
    </row>
    <row r="252" spans="1:8" x14ac:dyDescent="0.35">
      <c r="A252" s="242" t="s">
        <v>516</v>
      </c>
      <c r="B252" s="243"/>
      <c r="C252" s="244"/>
      <c r="D252" s="227">
        <f>IF(D249&lt;0.5,0,IF(AND(D249&gt;5,D249&lt;=10,C247&lt;=15),25,IF(AND(D249&gt;10,C247&lt;=20),50,IF(C247&gt;20,0,IF(D249&gt;=0.5,10,IF(D249&lt;=5,10,IF(C247&lt;=10,10)))))))</f>
        <v>0</v>
      </c>
      <c r="E252" s="322"/>
      <c r="F252" s="323"/>
      <c r="G252" s="323"/>
      <c r="H252" s="324"/>
    </row>
    <row r="253" spans="1:8" x14ac:dyDescent="0.35">
      <c r="A253" s="242" t="s">
        <v>517</v>
      </c>
      <c r="B253" s="243"/>
      <c r="C253" s="244"/>
      <c r="D253" s="135" t="str">
        <f>IF(B247="","",IF(B247&gt;D252,"Yes","No"))</f>
        <v/>
      </c>
      <c r="E253" s="322" t="str">
        <f>IF(D253="","",IF(D253="Yes","Does not meet design criteria",""))</f>
        <v/>
      </c>
      <c r="F253" s="323"/>
      <c r="G253" s="323"/>
      <c r="H253" s="324"/>
    </row>
    <row r="254" spans="1:8" ht="14.5" x14ac:dyDescent="0.35">
      <c r="A254" s="242" t="s">
        <v>703</v>
      </c>
      <c r="B254" s="406"/>
      <c r="C254" s="407"/>
      <c r="D254" s="43"/>
      <c r="E254" s="322"/>
      <c r="F254" s="406"/>
      <c r="G254" s="406"/>
      <c r="H254" s="407"/>
    </row>
    <row r="255" spans="1:8" x14ac:dyDescent="0.35">
      <c r="A255" s="242" t="s">
        <v>296</v>
      </c>
      <c r="B255" s="243"/>
      <c r="C255" s="244"/>
      <c r="D255" s="43"/>
      <c r="E255" s="322" t="str">
        <f>IF(OR(AND(D254="Yes",D255&lt;4),AND(D254="No",D255&lt;2)),"Does not meet design criteria","")</f>
        <v/>
      </c>
      <c r="F255" s="323"/>
      <c r="G255" s="323"/>
      <c r="H255" s="324"/>
    </row>
    <row r="256" spans="1:8" x14ac:dyDescent="0.35">
      <c r="A256" s="242" t="s">
        <v>297</v>
      </c>
      <c r="B256" s="243"/>
      <c r="C256" s="244"/>
      <c r="D256" s="43"/>
      <c r="E256" s="322" t="str">
        <f>IF(D256="","",IF(D256&lt;2,"Does not meet design criteria",""))</f>
        <v/>
      </c>
      <c r="F256" s="323"/>
      <c r="G256" s="323"/>
      <c r="H256" s="324"/>
    </row>
    <row r="257" spans="1:8" x14ac:dyDescent="0.35">
      <c r="A257" s="242" t="s">
        <v>507</v>
      </c>
      <c r="B257" s="243"/>
      <c r="C257" s="244"/>
      <c r="D257" s="43"/>
      <c r="E257" s="322" t="str">
        <f>IF(D257="","",IF(AND(D249&lt;=10,D257&lt;(F247*0.25)),"Does not meet design criteria",IF(AND(D249&gt;10,D257&lt;(F247*0.5)),"Does not meet design criteria","")))</f>
        <v/>
      </c>
      <c r="F257" s="323"/>
      <c r="G257" s="323"/>
      <c r="H257" s="324"/>
    </row>
    <row r="258" spans="1:8" x14ac:dyDescent="0.35">
      <c r="A258" s="242" t="s">
        <v>518</v>
      </c>
      <c r="B258" s="243"/>
      <c r="C258" s="244"/>
      <c r="D258" s="43"/>
      <c r="E258" s="322" t="str">
        <f>IF(D258="","",IF(D258&lt;1,"Does not meet design criteria",""))</f>
        <v/>
      </c>
      <c r="F258" s="323"/>
      <c r="G258" s="323"/>
      <c r="H258" s="324"/>
    </row>
    <row r="259" spans="1:8" x14ac:dyDescent="0.35">
      <c r="A259" s="242" t="s">
        <v>519</v>
      </c>
      <c r="B259" s="243"/>
      <c r="C259" s="244"/>
      <c r="D259" s="43"/>
      <c r="E259" s="322" t="str">
        <f>IF(D259&gt;6,"Does not meet design criteria","")</f>
        <v/>
      </c>
      <c r="F259" s="323"/>
      <c r="G259" s="323"/>
      <c r="H259" s="324"/>
    </row>
    <row r="260" spans="1:8" ht="14.5" x14ac:dyDescent="0.35">
      <c r="A260" s="242" t="s">
        <v>705</v>
      </c>
      <c r="B260" s="406"/>
      <c r="C260" s="407"/>
      <c r="D260" s="43"/>
      <c r="E260" s="322" t="str">
        <f>IF(D260="","",IF(D260&lt;3,"Does not meet design criteria",""))</f>
        <v/>
      </c>
      <c r="F260" s="406"/>
      <c r="G260" s="406"/>
      <c r="H260" s="407"/>
    </row>
    <row r="261" spans="1:8" x14ac:dyDescent="0.35">
      <c r="A261" s="242" t="s">
        <v>520</v>
      </c>
      <c r="B261" s="243"/>
      <c r="C261" s="244"/>
      <c r="D261" s="43"/>
      <c r="E261" s="322" t="str">
        <f>IF(D261&gt;15,"Does not meet design criteria","")</f>
        <v/>
      </c>
      <c r="F261" s="323"/>
      <c r="G261" s="323"/>
      <c r="H261" s="324"/>
    </row>
    <row r="262" spans="1:8" x14ac:dyDescent="0.35">
      <c r="A262" s="242" t="s">
        <v>521</v>
      </c>
      <c r="B262" s="243"/>
      <c r="C262" s="244"/>
      <c r="D262" s="43"/>
      <c r="E262" s="322" t="str">
        <f>IF(D262="","",IF(D262&lt;12,"Does not meet design criteria",""))</f>
        <v/>
      </c>
      <c r="F262" s="323"/>
      <c r="G262" s="323"/>
      <c r="H262" s="324"/>
    </row>
    <row r="263" spans="1:8" ht="13" x14ac:dyDescent="0.35">
      <c r="A263" s="409" t="s">
        <v>232</v>
      </c>
      <c r="B263" s="410"/>
      <c r="C263" s="410"/>
      <c r="D263" s="410"/>
      <c r="E263" s="410"/>
      <c r="F263" s="410"/>
      <c r="G263" s="410"/>
      <c r="H263" s="411"/>
    </row>
    <row r="264" spans="1:8" x14ac:dyDescent="0.35">
      <c r="A264" s="378"/>
      <c r="B264" s="379"/>
      <c r="C264" s="380"/>
      <c r="D264" s="222" t="s">
        <v>256</v>
      </c>
      <c r="E264" s="208" t="s">
        <v>257</v>
      </c>
      <c r="F264" s="375" t="s">
        <v>258</v>
      </c>
      <c r="G264" s="376"/>
      <c r="H264" s="377"/>
    </row>
    <row r="265" spans="1:8" x14ac:dyDescent="0.35">
      <c r="A265" s="289" t="s">
        <v>302</v>
      </c>
      <c r="B265" s="289"/>
      <c r="C265" s="198" t="s">
        <v>303</v>
      </c>
      <c r="D265" s="212" t="str">
        <f>F247</f>
        <v/>
      </c>
      <c r="E265" s="193" t="s">
        <v>2</v>
      </c>
      <c r="F265" s="344"/>
      <c r="G265" s="344"/>
      <c r="H265" s="344"/>
    </row>
    <row r="266" spans="1:8" x14ac:dyDescent="0.35">
      <c r="A266" s="289" t="s">
        <v>522</v>
      </c>
      <c r="B266" s="289"/>
      <c r="C266" s="198" t="s">
        <v>523</v>
      </c>
      <c r="D266" s="153">
        <f>D259</f>
        <v>0</v>
      </c>
      <c r="E266" s="193" t="s">
        <v>271</v>
      </c>
      <c r="F266" s="344" t="str">
        <f>IF(D266&gt;6,"Does not meet design criteria","")</f>
        <v/>
      </c>
      <c r="G266" s="344"/>
      <c r="H266" s="344"/>
    </row>
    <row r="267" spans="1:8" x14ac:dyDescent="0.35">
      <c r="A267" s="334" t="s">
        <v>719</v>
      </c>
      <c r="B267" s="334"/>
      <c r="C267" s="217" t="s">
        <v>524</v>
      </c>
      <c r="D267" s="22" t="e">
        <f>ROUND(D265/D266,0)</f>
        <v>#VALUE!</v>
      </c>
      <c r="E267" s="144" t="s">
        <v>316</v>
      </c>
      <c r="F267" s="387"/>
      <c r="G267" s="388"/>
      <c r="H267" s="389"/>
    </row>
    <row r="268" spans="1:8" x14ac:dyDescent="0.35">
      <c r="A268" s="334" t="s">
        <v>720</v>
      </c>
      <c r="B268" s="334"/>
      <c r="C268" s="217" t="s">
        <v>524</v>
      </c>
      <c r="D268" s="218"/>
      <c r="E268" s="144" t="s">
        <v>316</v>
      </c>
      <c r="F268" s="387" t="str">
        <f>IF(D268="","",IF(D268&lt;D267,"Does not meet design criteria",IF(D268&lt;D266,"Does not meet design criteria","")))</f>
        <v/>
      </c>
      <c r="G268" s="388"/>
      <c r="H268" s="389"/>
    </row>
    <row r="269" spans="1:8" ht="13" x14ac:dyDescent="0.35">
      <c r="A269" s="412" t="s">
        <v>372</v>
      </c>
      <c r="B269" s="412"/>
      <c r="C269" s="412"/>
      <c r="D269" s="412"/>
      <c r="E269" s="412"/>
      <c r="F269" s="412"/>
      <c r="G269" s="412"/>
      <c r="H269" s="412"/>
    </row>
    <row r="270" spans="1:8" ht="13" x14ac:dyDescent="0.35">
      <c r="A270" s="335" t="s">
        <v>241</v>
      </c>
      <c r="B270" s="335"/>
      <c r="C270" s="9" t="str">
        <f>IF(A247="","",IF(D251="Yes",0,IF(D249&lt;0.5,0,IF(D253="Yes",0,IF(D255&lt;2,0,IF(D256&lt;2,0,IF(AND(D249&lt;=10,D257&lt;(F247*0.25)),0,IF(AND(D249&gt;10,D257&lt;(F247*0.5)),0,IF(D258&lt;1,0,IF(D259&gt;6,0,IF(D261&gt;15,0,IF(D262&lt;12,0,IF(D268&lt;D267,0,F247*1)))))))))))))</f>
        <v/>
      </c>
      <c r="D270" s="339" t="s">
        <v>2</v>
      </c>
      <c r="E270" s="340"/>
      <c r="F270" s="340"/>
      <c r="G270" s="340"/>
      <c r="H270" s="341"/>
    </row>
  </sheetData>
  <sheetProtection algorithmName="SHA-512" hashValue="BMzgkmsYeOX7QrDLoYIb/I8/pqSQN6BSfQQ7rTiJxvABiemNqRRCp3OzGKLjWMPkocUWvC7vH0PlOQixdWTCdg==" saltValue="lIBiTOPWSe2T3CYItRoJIA==" spinCount="100000" sheet="1" formatColumns="0" formatRows="0"/>
  <mergeCells count="444">
    <mergeCell ref="A266:B266"/>
    <mergeCell ref="F266:H266"/>
    <mergeCell ref="A267:B267"/>
    <mergeCell ref="F267:H267"/>
    <mergeCell ref="A268:B268"/>
    <mergeCell ref="F268:H268"/>
    <mergeCell ref="A269:H269"/>
    <mergeCell ref="A270:B270"/>
    <mergeCell ref="D270:H270"/>
    <mergeCell ref="A261:C261"/>
    <mergeCell ref="E261:H261"/>
    <mergeCell ref="A262:C262"/>
    <mergeCell ref="E262:H262"/>
    <mergeCell ref="A263:H263"/>
    <mergeCell ref="A264:C264"/>
    <mergeCell ref="F264:H264"/>
    <mergeCell ref="A265:B265"/>
    <mergeCell ref="F265:H265"/>
    <mergeCell ref="A256:C256"/>
    <mergeCell ref="E256:H256"/>
    <mergeCell ref="A257:C257"/>
    <mergeCell ref="E257:H257"/>
    <mergeCell ref="A258:C258"/>
    <mergeCell ref="E258:H258"/>
    <mergeCell ref="A259:C259"/>
    <mergeCell ref="E259:H259"/>
    <mergeCell ref="A260:C260"/>
    <mergeCell ref="E260:H260"/>
    <mergeCell ref="A251:C251"/>
    <mergeCell ref="E251:H251"/>
    <mergeCell ref="A252:C252"/>
    <mergeCell ref="E252:H252"/>
    <mergeCell ref="A253:C253"/>
    <mergeCell ref="E253:H253"/>
    <mergeCell ref="A254:C254"/>
    <mergeCell ref="E254:H254"/>
    <mergeCell ref="A255:C255"/>
    <mergeCell ref="E255:H255"/>
    <mergeCell ref="A242:H242"/>
    <mergeCell ref="A243:B243"/>
    <mergeCell ref="D243:H243"/>
    <mergeCell ref="A245:H245"/>
    <mergeCell ref="A248:H248"/>
    <mergeCell ref="A249:C249"/>
    <mergeCell ref="E249:H249"/>
    <mergeCell ref="A250:C250"/>
    <mergeCell ref="E250:H250"/>
    <mergeCell ref="A237:C237"/>
    <mergeCell ref="F237:H237"/>
    <mergeCell ref="A238:B238"/>
    <mergeCell ref="F238:H238"/>
    <mergeCell ref="A239:B239"/>
    <mergeCell ref="F239:H239"/>
    <mergeCell ref="A240:B240"/>
    <mergeCell ref="F240:H240"/>
    <mergeCell ref="A241:B241"/>
    <mergeCell ref="F241:H241"/>
    <mergeCell ref="A232:C232"/>
    <mergeCell ref="E232:H232"/>
    <mergeCell ref="A233:C233"/>
    <mergeCell ref="E233:H233"/>
    <mergeCell ref="A234:C234"/>
    <mergeCell ref="E234:H234"/>
    <mergeCell ref="A235:C235"/>
    <mergeCell ref="E235:H235"/>
    <mergeCell ref="A236:H236"/>
    <mergeCell ref="A227:C227"/>
    <mergeCell ref="E227:H227"/>
    <mergeCell ref="A228:C228"/>
    <mergeCell ref="E228:H228"/>
    <mergeCell ref="A229:C229"/>
    <mergeCell ref="E229:H229"/>
    <mergeCell ref="A230:C230"/>
    <mergeCell ref="E230:H230"/>
    <mergeCell ref="A231:C231"/>
    <mergeCell ref="E231:H231"/>
    <mergeCell ref="A222:C222"/>
    <mergeCell ref="E222:H222"/>
    <mergeCell ref="A223:C223"/>
    <mergeCell ref="E223:H223"/>
    <mergeCell ref="A224:C224"/>
    <mergeCell ref="E224:H224"/>
    <mergeCell ref="A225:C225"/>
    <mergeCell ref="E225:H225"/>
    <mergeCell ref="A226:C226"/>
    <mergeCell ref="E226:H226"/>
    <mergeCell ref="A213:B213"/>
    <mergeCell ref="F213:H213"/>
    <mergeCell ref="A214:B214"/>
    <mergeCell ref="F214:H214"/>
    <mergeCell ref="A215:H215"/>
    <mergeCell ref="A216:B216"/>
    <mergeCell ref="D216:H216"/>
    <mergeCell ref="A218:H218"/>
    <mergeCell ref="A221:H221"/>
    <mergeCell ref="A208:C208"/>
    <mergeCell ref="E208:H208"/>
    <mergeCell ref="A209:H209"/>
    <mergeCell ref="A210:C210"/>
    <mergeCell ref="F210:H210"/>
    <mergeCell ref="A211:B211"/>
    <mergeCell ref="F211:H211"/>
    <mergeCell ref="A212:B212"/>
    <mergeCell ref="F212:H212"/>
    <mergeCell ref="A203:C203"/>
    <mergeCell ref="E203:H203"/>
    <mergeCell ref="A204:C204"/>
    <mergeCell ref="E204:H204"/>
    <mergeCell ref="A205:C205"/>
    <mergeCell ref="E205:H205"/>
    <mergeCell ref="A206:C206"/>
    <mergeCell ref="E206:H206"/>
    <mergeCell ref="A207:C207"/>
    <mergeCell ref="E207:H207"/>
    <mergeCell ref="A198:C198"/>
    <mergeCell ref="E198:H198"/>
    <mergeCell ref="A199:C199"/>
    <mergeCell ref="E199:H199"/>
    <mergeCell ref="A200:C200"/>
    <mergeCell ref="E200:H200"/>
    <mergeCell ref="A201:C201"/>
    <mergeCell ref="E201:H201"/>
    <mergeCell ref="A202:C202"/>
    <mergeCell ref="E202:H202"/>
    <mergeCell ref="A189:B189"/>
    <mergeCell ref="D189:H189"/>
    <mergeCell ref="A191:H191"/>
    <mergeCell ref="A194:H194"/>
    <mergeCell ref="A195:C195"/>
    <mergeCell ref="E195:H195"/>
    <mergeCell ref="A196:C196"/>
    <mergeCell ref="E196:H196"/>
    <mergeCell ref="A197:C197"/>
    <mergeCell ref="E197:H197"/>
    <mergeCell ref="A184:B184"/>
    <mergeCell ref="F184:H184"/>
    <mergeCell ref="A185:B185"/>
    <mergeCell ref="F185:H185"/>
    <mergeCell ref="A186:B186"/>
    <mergeCell ref="F186:H186"/>
    <mergeCell ref="A187:B187"/>
    <mergeCell ref="F187:H187"/>
    <mergeCell ref="A188:H188"/>
    <mergeCell ref="A179:C179"/>
    <mergeCell ref="E179:H179"/>
    <mergeCell ref="A180:C180"/>
    <mergeCell ref="E180:H180"/>
    <mergeCell ref="A181:C181"/>
    <mergeCell ref="E181:H181"/>
    <mergeCell ref="A182:H182"/>
    <mergeCell ref="A183:C183"/>
    <mergeCell ref="F183:H183"/>
    <mergeCell ref="A174:C174"/>
    <mergeCell ref="E174:H174"/>
    <mergeCell ref="A175:C175"/>
    <mergeCell ref="E175:H175"/>
    <mergeCell ref="A176:C176"/>
    <mergeCell ref="E176:H176"/>
    <mergeCell ref="A177:C177"/>
    <mergeCell ref="E177:H177"/>
    <mergeCell ref="A178:C178"/>
    <mergeCell ref="E178:H178"/>
    <mergeCell ref="A169:C169"/>
    <mergeCell ref="E169:H169"/>
    <mergeCell ref="A170:C170"/>
    <mergeCell ref="E170:H170"/>
    <mergeCell ref="A171:C171"/>
    <mergeCell ref="E171:H171"/>
    <mergeCell ref="A172:C172"/>
    <mergeCell ref="E172:H172"/>
    <mergeCell ref="A173:C173"/>
    <mergeCell ref="E173:H173"/>
    <mergeCell ref="A160:B160"/>
    <mergeCell ref="F160:H160"/>
    <mergeCell ref="A161:H161"/>
    <mergeCell ref="A162:B162"/>
    <mergeCell ref="D162:H162"/>
    <mergeCell ref="A164:H164"/>
    <mergeCell ref="A167:H167"/>
    <mergeCell ref="A168:C168"/>
    <mergeCell ref="E168:H168"/>
    <mergeCell ref="A155:H155"/>
    <mergeCell ref="A156:C156"/>
    <mergeCell ref="F156:H156"/>
    <mergeCell ref="A157:B157"/>
    <mergeCell ref="F157:H157"/>
    <mergeCell ref="A158:B158"/>
    <mergeCell ref="F158:H158"/>
    <mergeCell ref="A159:B159"/>
    <mergeCell ref="F159:H159"/>
    <mergeCell ref="A150:C150"/>
    <mergeCell ref="E150:H150"/>
    <mergeCell ref="A151:C151"/>
    <mergeCell ref="E151:H151"/>
    <mergeCell ref="A152:C152"/>
    <mergeCell ref="E152:H152"/>
    <mergeCell ref="A153:C153"/>
    <mergeCell ref="E153:H153"/>
    <mergeCell ref="A154:C154"/>
    <mergeCell ref="E154:H154"/>
    <mergeCell ref="A145:C145"/>
    <mergeCell ref="E145:H145"/>
    <mergeCell ref="A146:C146"/>
    <mergeCell ref="E146:H146"/>
    <mergeCell ref="A147:C147"/>
    <mergeCell ref="E147:H147"/>
    <mergeCell ref="A148:C148"/>
    <mergeCell ref="E148:H148"/>
    <mergeCell ref="A149:C149"/>
    <mergeCell ref="E149:H149"/>
    <mergeCell ref="A137:H137"/>
    <mergeCell ref="A140:H140"/>
    <mergeCell ref="A141:C141"/>
    <mergeCell ref="E141:H141"/>
    <mergeCell ref="A142:C142"/>
    <mergeCell ref="E142:H142"/>
    <mergeCell ref="A143:C143"/>
    <mergeCell ref="E143:H143"/>
    <mergeCell ref="A144:C144"/>
    <mergeCell ref="E144:H144"/>
    <mergeCell ref="A44:C44"/>
    <mergeCell ref="E44:H44"/>
    <mergeCell ref="A71:C71"/>
    <mergeCell ref="E71:H71"/>
    <mergeCell ref="A98:C98"/>
    <mergeCell ref="E98:H98"/>
    <mergeCell ref="A125:C125"/>
    <mergeCell ref="E125:H125"/>
    <mergeCell ref="A135:B135"/>
    <mergeCell ref="D135:H135"/>
    <mergeCell ref="A132:B132"/>
    <mergeCell ref="F132:H132"/>
    <mergeCell ref="A133:B133"/>
    <mergeCell ref="F133:H133"/>
    <mergeCell ref="A134:H134"/>
    <mergeCell ref="A129:C129"/>
    <mergeCell ref="F129:H129"/>
    <mergeCell ref="A130:B130"/>
    <mergeCell ref="F130:H130"/>
    <mergeCell ref="A131:B131"/>
    <mergeCell ref="F131:H131"/>
    <mergeCell ref="A126:C126"/>
    <mergeCell ref="E126:H126"/>
    <mergeCell ref="A127:C127"/>
    <mergeCell ref="E127:H127"/>
    <mergeCell ref="A128:H128"/>
    <mergeCell ref="A122:C122"/>
    <mergeCell ref="E122:H122"/>
    <mergeCell ref="A123:C123"/>
    <mergeCell ref="E123:H123"/>
    <mergeCell ref="A124:C124"/>
    <mergeCell ref="E124:H124"/>
    <mergeCell ref="A118:C118"/>
    <mergeCell ref="E118:H118"/>
    <mergeCell ref="A120:C120"/>
    <mergeCell ref="E120:H120"/>
    <mergeCell ref="A121:C121"/>
    <mergeCell ref="E121:H121"/>
    <mergeCell ref="A108:B108"/>
    <mergeCell ref="D108:H108"/>
    <mergeCell ref="A110:H110"/>
    <mergeCell ref="A119:C119"/>
    <mergeCell ref="E119:H119"/>
    <mergeCell ref="A105:B105"/>
    <mergeCell ref="F105:H105"/>
    <mergeCell ref="A106:B106"/>
    <mergeCell ref="F106:H106"/>
    <mergeCell ref="A107:H107"/>
    <mergeCell ref="A117:C117"/>
    <mergeCell ref="E117:H117"/>
    <mergeCell ref="A113:H113"/>
    <mergeCell ref="A114:C114"/>
    <mergeCell ref="E114:H114"/>
    <mergeCell ref="A115:C115"/>
    <mergeCell ref="E115:H115"/>
    <mergeCell ref="A116:C116"/>
    <mergeCell ref="E116:H116"/>
    <mergeCell ref="A102:C102"/>
    <mergeCell ref="F102:H102"/>
    <mergeCell ref="A103:B103"/>
    <mergeCell ref="F103:H103"/>
    <mergeCell ref="A104:B104"/>
    <mergeCell ref="F104:H104"/>
    <mergeCell ref="A99:C99"/>
    <mergeCell ref="E99:H99"/>
    <mergeCell ref="A100:C100"/>
    <mergeCell ref="E100:H100"/>
    <mergeCell ref="A101:H101"/>
    <mergeCell ref="A95:C95"/>
    <mergeCell ref="E95:H95"/>
    <mergeCell ref="A96:C96"/>
    <mergeCell ref="E96:H96"/>
    <mergeCell ref="A97:C97"/>
    <mergeCell ref="E97:H97"/>
    <mergeCell ref="A91:C91"/>
    <mergeCell ref="E91:H91"/>
    <mergeCell ref="A93:C93"/>
    <mergeCell ref="E93:H93"/>
    <mergeCell ref="A94:C94"/>
    <mergeCell ref="E94:H94"/>
    <mergeCell ref="A92:C92"/>
    <mergeCell ref="E92:H92"/>
    <mergeCell ref="A81:B81"/>
    <mergeCell ref="D81:H81"/>
    <mergeCell ref="A83:H83"/>
    <mergeCell ref="A78:B78"/>
    <mergeCell ref="F78:H78"/>
    <mergeCell ref="A79:B79"/>
    <mergeCell ref="F79:H79"/>
    <mergeCell ref="A80:H80"/>
    <mergeCell ref="A90:C90"/>
    <mergeCell ref="E90:H90"/>
    <mergeCell ref="A86:H86"/>
    <mergeCell ref="A87:C87"/>
    <mergeCell ref="E87:H87"/>
    <mergeCell ref="A88:C88"/>
    <mergeCell ref="E88:H88"/>
    <mergeCell ref="A89:C89"/>
    <mergeCell ref="E89:H89"/>
    <mergeCell ref="A75:C75"/>
    <mergeCell ref="F75:H75"/>
    <mergeCell ref="A76:B76"/>
    <mergeCell ref="F76:H76"/>
    <mergeCell ref="A77:B77"/>
    <mergeCell ref="F77:H77"/>
    <mergeCell ref="A72:C72"/>
    <mergeCell ref="E72:H72"/>
    <mergeCell ref="A73:C73"/>
    <mergeCell ref="E73:H73"/>
    <mergeCell ref="A74:H74"/>
    <mergeCell ref="A68:C68"/>
    <mergeCell ref="E68:H68"/>
    <mergeCell ref="A69:C69"/>
    <mergeCell ref="E69:H69"/>
    <mergeCell ref="A70:C70"/>
    <mergeCell ref="E70:H70"/>
    <mergeCell ref="A64:C64"/>
    <mergeCell ref="E64:H64"/>
    <mergeCell ref="A66:C66"/>
    <mergeCell ref="E66:H66"/>
    <mergeCell ref="A67:C67"/>
    <mergeCell ref="E67:H67"/>
    <mergeCell ref="A65:C65"/>
    <mergeCell ref="E65:H65"/>
    <mergeCell ref="A54:B54"/>
    <mergeCell ref="D54:H54"/>
    <mergeCell ref="A56:H56"/>
    <mergeCell ref="A51:B51"/>
    <mergeCell ref="F51:H51"/>
    <mergeCell ref="A52:B52"/>
    <mergeCell ref="F52:H52"/>
    <mergeCell ref="A53:H53"/>
    <mergeCell ref="A63:C63"/>
    <mergeCell ref="E63:H63"/>
    <mergeCell ref="A59:H59"/>
    <mergeCell ref="A60:C60"/>
    <mergeCell ref="E60:H60"/>
    <mergeCell ref="A61:C61"/>
    <mergeCell ref="E61:H61"/>
    <mergeCell ref="A62:C62"/>
    <mergeCell ref="E62:H62"/>
    <mergeCell ref="A48:C48"/>
    <mergeCell ref="F48:H48"/>
    <mergeCell ref="A49:B49"/>
    <mergeCell ref="F49:H49"/>
    <mergeCell ref="A50:B50"/>
    <mergeCell ref="F50:H50"/>
    <mergeCell ref="A45:C45"/>
    <mergeCell ref="E45:H45"/>
    <mergeCell ref="A46:C46"/>
    <mergeCell ref="E46:H46"/>
    <mergeCell ref="A47:H47"/>
    <mergeCell ref="A42:C42"/>
    <mergeCell ref="E42:H42"/>
    <mergeCell ref="A43:C43"/>
    <mergeCell ref="E43:H43"/>
    <mergeCell ref="A37:C37"/>
    <mergeCell ref="E37:H37"/>
    <mergeCell ref="A39:C39"/>
    <mergeCell ref="E39:H39"/>
    <mergeCell ref="A40:C40"/>
    <mergeCell ref="E40:H40"/>
    <mergeCell ref="A38:C38"/>
    <mergeCell ref="E38:H38"/>
    <mergeCell ref="A16:C16"/>
    <mergeCell ref="E16:H16"/>
    <mergeCell ref="A18:C18"/>
    <mergeCell ref="E18:H18"/>
    <mergeCell ref="A19:C19"/>
    <mergeCell ref="E19:H19"/>
    <mergeCell ref="A41:C41"/>
    <mergeCell ref="E41:H41"/>
    <mergeCell ref="A36:C36"/>
    <mergeCell ref="E36:H36"/>
    <mergeCell ref="A32:H32"/>
    <mergeCell ref="A33:C33"/>
    <mergeCell ref="E33:H33"/>
    <mergeCell ref="A34:C34"/>
    <mergeCell ref="E34:H34"/>
    <mergeCell ref="A35:C35"/>
    <mergeCell ref="E35:H35"/>
    <mergeCell ref="A17:C17"/>
    <mergeCell ref="E17:H17"/>
    <mergeCell ref="I2:N2"/>
    <mergeCell ref="I3:N3"/>
    <mergeCell ref="I4:N4"/>
    <mergeCell ref="I5:N5"/>
    <mergeCell ref="A29:H29"/>
    <mergeCell ref="A10:C10"/>
    <mergeCell ref="A26:H26"/>
    <mergeCell ref="A27:B27"/>
    <mergeCell ref="D27:H27"/>
    <mergeCell ref="A24:B24"/>
    <mergeCell ref="F24:H24"/>
    <mergeCell ref="A25:B25"/>
    <mergeCell ref="F25:H25"/>
    <mergeCell ref="A20:H20"/>
    <mergeCell ref="A21:C21"/>
    <mergeCell ref="F21:H21"/>
    <mergeCell ref="A22:B22"/>
    <mergeCell ref="F22:H22"/>
    <mergeCell ref="A14:C14"/>
    <mergeCell ref="E14:H14"/>
    <mergeCell ref="A15:C15"/>
    <mergeCell ref="E15:H15"/>
    <mergeCell ref="A23:B23"/>
    <mergeCell ref="F23:H23"/>
    <mergeCell ref="A2:H2"/>
    <mergeCell ref="A5:H5"/>
    <mergeCell ref="A6:C6"/>
    <mergeCell ref="E6:H6"/>
    <mergeCell ref="A7:C7"/>
    <mergeCell ref="E7:H7"/>
    <mergeCell ref="A12:C12"/>
    <mergeCell ref="E12:H12"/>
    <mergeCell ref="A13:C13"/>
    <mergeCell ref="E13:H13"/>
    <mergeCell ref="E10:H10"/>
    <mergeCell ref="A9:C9"/>
    <mergeCell ref="E9:H9"/>
    <mergeCell ref="A8:C8"/>
    <mergeCell ref="E8:H8"/>
    <mergeCell ref="A11:C11"/>
    <mergeCell ref="E11:H11"/>
  </mergeCells>
  <dataValidations count="3">
    <dataValidation type="list" showInputMessage="1" showErrorMessage="1" promptTitle="Yes or No?" sqref="D61:D62 D7:D8 D11 D34:D35 D88:D89 D119 D92 D65 D38 D115:D116 D146 D142:D143 D173 D169:D170 D200 D196:D197 D227 D223:D224 D254 D250:D251" xr:uid="{139D994D-5129-42E3-8020-71997E2388B0}">
      <formula1>YesNo</formula1>
    </dataValidation>
    <dataValidation type="list" showInputMessage="1" showErrorMessage="1" promptTitle="Choose Area" sqref="A58 A31 A4 A85 A112 A139 A166 A193 A220 A247" xr:uid="{29091FE0-6797-4E5B-8516-6D09B3D85D68}">
      <formula1>CatchNo</formula1>
    </dataValidation>
    <dataValidation type="decimal" operator="greaterThan" allowBlank="1" showInputMessage="1" showErrorMessage="1" sqref="D6 D12:D19 D25 D39:D46 D33 D52 D66:D73 D60 D79 D93:D100 D87 D106 D120:D127 D114 D133 D147:D154 D141 D160 D174:D181 D168 D187 D201:D208 D195 D214 D228:D235 D222 D241 D255:D262 D249 D268" xr:uid="{F0A1779D-7C73-466D-967F-0763706E681C}">
      <formula1>0</formula1>
    </dataValidation>
  </dataValidations>
  <pageMargins left="0.5" right="0.5" top="0.75" bottom="0.5" header="0.3" footer="0.3"/>
  <pageSetup paperSize="278" orientation="portrait" r:id="rId1"/>
  <headerFooter>
    <oddHeader>&amp;C&amp;"Arial,Regular"&amp;18Infiltration Basin (I-2)</oddHeader>
  </headerFooter>
  <rowBreaks count="10" manualBreakCount="10">
    <brk id="27" max="16383" man="1"/>
    <brk id="54" max="16383" man="1"/>
    <brk id="81" max="16383" man="1"/>
    <brk id="108" max="16383" man="1"/>
    <brk id="135" max="16383" man="1"/>
    <brk id="162" max="16383" man="1"/>
    <brk id="189" max="16383" man="1"/>
    <brk id="216" max="16383" man="1"/>
    <brk id="243" max="16383" man="1"/>
    <brk id="27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09260-B472-4F4A-BDC7-B795150C9182}">
  <dimension ref="A1:P270"/>
  <sheetViews>
    <sheetView view="pageLayout" zoomScaleNormal="100" workbookViewId="0">
      <selection activeCell="E9" sqref="E9:H9"/>
    </sheetView>
  </sheetViews>
  <sheetFormatPr defaultColWidth="9.1796875" defaultRowHeight="12.5" x14ac:dyDescent="0.35"/>
  <cols>
    <col min="1" max="2" width="12.7265625" style="12" customWidth="1"/>
    <col min="3" max="3" width="11.453125" style="12" customWidth="1"/>
    <col min="4" max="4" width="10.7265625" style="12" customWidth="1"/>
    <col min="5" max="5" width="6.453125" style="12" customWidth="1"/>
    <col min="6" max="6" width="8.54296875" style="12" customWidth="1"/>
    <col min="7" max="7" width="12.453125" style="12" customWidth="1"/>
    <col min="8" max="8" width="15.26953125" style="12" customWidth="1"/>
    <col min="9" max="9" width="9.1796875" style="12"/>
    <col min="10" max="13" width="9.1796875" style="12" hidden="1" customWidth="1"/>
    <col min="14" max="16384" width="9.1796875" style="12"/>
  </cols>
  <sheetData>
    <row r="1" spans="1:16" ht="18" customHeight="1" x14ac:dyDescent="0.35">
      <c r="A1" s="16" t="s">
        <v>56</v>
      </c>
      <c r="B1" s="225" t="str">
        <f>IF('STEP 2-WQv Calculation'!$B$4="","",'STEP 2-WQv Calculation'!$B$4)</f>
        <v/>
      </c>
    </row>
    <row r="2" spans="1:16" ht="13" x14ac:dyDescent="0.35">
      <c r="A2" s="236" t="s">
        <v>293</v>
      </c>
      <c r="B2" s="237"/>
      <c r="C2" s="237"/>
      <c r="D2" s="237"/>
      <c r="E2" s="237"/>
      <c r="F2" s="237"/>
      <c r="G2" s="237"/>
      <c r="H2" s="238"/>
      <c r="I2" s="255" t="s">
        <v>219</v>
      </c>
      <c r="J2" s="256"/>
      <c r="K2" s="256"/>
      <c r="L2" s="256"/>
      <c r="M2" s="256"/>
      <c r="N2" s="256"/>
      <c r="O2" s="49">
        <f>SUM(B4,B31,B58,B85,B112,B139,B166,B193,B220,B247)</f>
        <v>0</v>
      </c>
      <c r="P2" s="12" t="s">
        <v>223</v>
      </c>
    </row>
    <row r="3" spans="1:16" ht="46.75" customHeight="1" x14ac:dyDescent="0.35">
      <c r="A3" s="204" t="s">
        <v>60</v>
      </c>
      <c r="B3" s="205" t="s">
        <v>61</v>
      </c>
      <c r="C3" s="205" t="s">
        <v>62</v>
      </c>
      <c r="D3" s="205" t="s">
        <v>63</v>
      </c>
      <c r="E3" s="205" t="s">
        <v>64</v>
      </c>
      <c r="F3" s="205" t="s">
        <v>65</v>
      </c>
      <c r="G3" s="205" t="s">
        <v>244</v>
      </c>
      <c r="H3" s="206" t="s">
        <v>13</v>
      </c>
      <c r="I3" s="255" t="s">
        <v>245</v>
      </c>
      <c r="J3" s="256"/>
      <c r="K3" s="256"/>
      <c r="L3" s="256"/>
      <c r="M3" s="256"/>
      <c r="N3" s="256"/>
      <c r="O3" s="21">
        <f>SUM(C4,C31,C58,C85,C112,C139,C166,C193,C220,C247)</f>
        <v>0</v>
      </c>
      <c r="P3" s="12" t="s">
        <v>223</v>
      </c>
    </row>
    <row r="4" spans="1:16"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c r="I4" s="255" t="s">
        <v>227</v>
      </c>
      <c r="J4" s="256"/>
      <c r="K4" s="256"/>
      <c r="L4" s="256"/>
      <c r="M4" s="256"/>
      <c r="N4" s="256"/>
      <c r="O4" s="28">
        <f>SUM(C27,C54,C81,C108,C135,C162,C189,C216,C243,C270)</f>
        <v>0</v>
      </c>
      <c r="P4" s="12" t="s">
        <v>2</v>
      </c>
    </row>
    <row r="5" spans="1:16" ht="15" customHeight="1" x14ac:dyDescent="0.35">
      <c r="A5" s="409" t="s">
        <v>226</v>
      </c>
      <c r="B5" s="410"/>
      <c r="C5" s="410"/>
      <c r="D5" s="410"/>
      <c r="E5" s="410"/>
      <c r="F5" s="410"/>
      <c r="G5" s="410"/>
      <c r="H5" s="411"/>
      <c r="I5" s="413" t="s">
        <v>447</v>
      </c>
      <c r="J5" s="414"/>
      <c r="K5" s="414"/>
      <c r="L5" s="414"/>
      <c r="M5" s="414"/>
      <c r="N5" s="414"/>
      <c r="O5" s="28">
        <v>0</v>
      </c>
      <c r="P5" s="12" t="s">
        <v>2</v>
      </c>
    </row>
    <row r="6" spans="1:16" s="1" customFormat="1" ht="30" customHeight="1" x14ac:dyDescent="0.35">
      <c r="A6" s="242" t="s">
        <v>295</v>
      </c>
      <c r="B6" s="243"/>
      <c r="C6" s="244"/>
      <c r="D6" s="44"/>
      <c r="E6" s="322" t="str">
        <f>IF(D6="","",IF(D6&lt;0.5,"Does not meet design criteria",""))</f>
        <v/>
      </c>
      <c r="F6" s="323"/>
      <c r="G6" s="323"/>
      <c r="H6" s="324"/>
      <c r="I6" s="4"/>
    </row>
    <row r="7" spans="1:16" s="1" customFormat="1" ht="26.5" customHeight="1" x14ac:dyDescent="0.35">
      <c r="A7" s="242" t="s">
        <v>717</v>
      </c>
      <c r="B7" s="243"/>
      <c r="C7" s="244"/>
      <c r="D7" s="211"/>
      <c r="E7" s="322" t="str">
        <f>IF(D7="Yes","Two treatment practices in series required. Refer to Section 6.3.1","")</f>
        <v/>
      </c>
      <c r="F7" s="323"/>
      <c r="G7" s="323"/>
      <c r="H7" s="324"/>
      <c r="I7" s="4"/>
    </row>
    <row r="8" spans="1:16" s="1" customFormat="1" ht="26.5" customHeight="1" x14ac:dyDescent="0.35">
      <c r="A8" s="242" t="s">
        <v>718</v>
      </c>
      <c r="B8" s="243"/>
      <c r="C8" s="244"/>
      <c r="D8" s="211"/>
      <c r="E8" s="322" t="str">
        <f>IF(D8="","See Section 4.14 of the Design Manual",IF(D8="Yes","Does not meet design criteria",""))</f>
        <v>See Section 4.14 of the Design Manual</v>
      </c>
      <c r="F8" s="323"/>
      <c r="G8" s="323"/>
      <c r="H8" s="324"/>
      <c r="I8" s="4"/>
    </row>
    <row r="9" spans="1:16" s="1" customFormat="1" ht="27.65" customHeight="1" x14ac:dyDescent="0.35">
      <c r="A9" s="242" t="s">
        <v>525</v>
      </c>
      <c r="B9" s="243"/>
      <c r="C9" s="244"/>
      <c r="D9" s="135" t="str">
        <f>B4</f>
        <v/>
      </c>
      <c r="E9" s="322" t="str">
        <f>IF(D9="","",IF(D9&gt;0.5,"For larger tributary areas, use multiple dry wells in series",""))</f>
        <v/>
      </c>
      <c r="F9" s="323"/>
      <c r="G9" s="323"/>
      <c r="H9" s="324"/>
      <c r="I9" s="4"/>
    </row>
    <row r="10" spans="1:16" s="1" customFormat="1" ht="27.65" customHeight="1" x14ac:dyDescent="0.35">
      <c r="A10" s="242" t="s">
        <v>703</v>
      </c>
      <c r="B10" s="406"/>
      <c r="C10" s="407"/>
      <c r="D10" s="43"/>
      <c r="E10" s="322"/>
      <c r="F10" s="406"/>
      <c r="G10" s="406"/>
      <c r="H10" s="407"/>
      <c r="I10" s="4"/>
    </row>
    <row r="11" spans="1:16" s="1" customFormat="1" ht="13.9" customHeight="1" x14ac:dyDescent="0.35">
      <c r="A11" s="242" t="s">
        <v>296</v>
      </c>
      <c r="B11" s="243"/>
      <c r="C11" s="244"/>
      <c r="D11" s="43"/>
      <c r="E11" s="322" t="str">
        <f>IF(OR(AND(D10="Yes",D11&lt;4),AND(D10="No",D11&lt;2)),"Does not meet design criteria","")</f>
        <v/>
      </c>
      <c r="F11" s="323"/>
      <c r="G11" s="323"/>
      <c r="H11" s="324"/>
      <c r="I11" s="4"/>
    </row>
    <row r="12" spans="1:16" s="1" customFormat="1" ht="13.9" customHeight="1" x14ac:dyDescent="0.35">
      <c r="A12" s="242" t="s">
        <v>297</v>
      </c>
      <c r="B12" s="243"/>
      <c r="C12" s="244"/>
      <c r="D12" s="43"/>
      <c r="E12" s="322" t="str">
        <f>IF(D12="","",IF(D12&lt;2,"Does not meet design criteria",""))</f>
        <v/>
      </c>
      <c r="F12" s="323"/>
      <c r="G12" s="323"/>
      <c r="H12" s="324"/>
      <c r="I12" s="4"/>
    </row>
    <row r="13" spans="1:16" s="1" customFormat="1" ht="13.9" customHeight="1" x14ac:dyDescent="0.35">
      <c r="A13" s="242" t="s">
        <v>507</v>
      </c>
      <c r="B13" s="243"/>
      <c r="C13" s="244"/>
      <c r="D13" s="43"/>
      <c r="E13" s="322" t="str">
        <f>IF(D13="","",IF(AND(D6&lt;=10,D13&lt;(F4*0.25)),"Does not meet design criteria",IF(AND(D6&gt;10,D13&lt;(F4*0.5)),"Does not meet design criteria","")))</f>
        <v/>
      </c>
      <c r="F13" s="323"/>
      <c r="G13" s="323"/>
      <c r="H13" s="324"/>
      <c r="I13" s="4"/>
    </row>
    <row r="14" spans="1:16" s="1" customFormat="1" ht="13.9" customHeight="1" x14ac:dyDescent="0.35">
      <c r="A14" s="242" t="s">
        <v>526</v>
      </c>
      <c r="B14" s="243"/>
      <c r="C14" s="244"/>
      <c r="D14" s="43"/>
      <c r="E14" s="322" t="str">
        <f>IF(D14="","",IF(D14&lt;1,"Does not meet design criteria",""))</f>
        <v/>
      </c>
      <c r="F14" s="323"/>
      <c r="G14" s="323"/>
      <c r="H14" s="324"/>
      <c r="I14" s="4"/>
    </row>
    <row r="15" spans="1:16" s="1" customFormat="1" ht="14.5" x14ac:dyDescent="0.35">
      <c r="A15" s="242" t="s">
        <v>510</v>
      </c>
      <c r="B15" s="243"/>
      <c r="C15" s="244"/>
      <c r="D15" s="211"/>
      <c r="E15" s="322" t="str">
        <f>IF(D15="No","Does not meet design criteria","")</f>
        <v/>
      </c>
      <c r="F15" s="323"/>
      <c r="G15" s="323"/>
      <c r="H15" s="324"/>
      <c r="I15" s="4"/>
    </row>
    <row r="16" spans="1:16" ht="13" x14ac:dyDescent="0.35">
      <c r="A16" s="409" t="s">
        <v>232</v>
      </c>
      <c r="B16" s="410"/>
      <c r="C16" s="410"/>
      <c r="D16" s="410"/>
      <c r="E16" s="410"/>
      <c r="F16" s="410"/>
      <c r="G16" s="410"/>
      <c r="H16" s="411"/>
    </row>
    <row r="17" spans="1:16" s="34" customFormat="1" ht="15" customHeight="1" x14ac:dyDescent="0.3">
      <c r="A17" s="378"/>
      <c r="B17" s="379"/>
      <c r="C17" s="380"/>
      <c r="D17" s="222" t="s">
        <v>256</v>
      </c>
      <c r="E17" s="208" t="s">
        <v>257</v>
      </c>
      <c r="F17" s="375" t="s">
        <v>258</v>
      </c>
      <c r="G17" s="376"/>
      <c r="H17" s="377"/>
      <c r="I17" s="4"/>
      <c r="J17" s="4"/>
      <c r="K17" s="4"/>
      <c r="L17" s="4"/>
      <c r="M17" s="4"/>
      <c r="N17" s="4"/>
      <c r="O17" s="4"/>
      <c r="P17" s="4"/>
    </row>
    <row r="18" spans="1:16" ht="12.75" customHeight="1" x14ac:dyDescent="0.35">
      <c r="A18" s="334" t="s">
        <v>527</v>
      </c>
      <c r="B18" s="334"/>
      <c r="C18" s="217" t="s">
        <v>528</v>
      </c>
      <c r="D18" s="46"/>
      <c r="E18" s="144" t="s">
        <v>271</v>
      </c>
      <c r="F18" s="387"/>
      <c r="G18" s="388"/>
      <c r="H18" s="389"/>
    </row>
    <row r="19" spans="1:16" ht="15" customHeight="1" x14ac:dyDescent="0.35">
      <c r="A19" s="289" t="s">
        <v>529</v>
      </c>
      <c r="B19" s="289"/>
      <c r="C19" s="198" t="s">
        <v>530</v>
      </c>
      <c r="D19" s="46"/>
      <c r="E19" s="193" t="s">
        <v>271</v>
      </c>
      <c r="F19" s="344"/>
      <c r="G19" s="344"/>
      <c r="H19" s="344"/>
    </row>
    <row r="20" spans="1:16" ht="12.75" customHeight="1" x14ac:dyDescent="0.35">
      <c r="A20" s="334" t="s">
        <v>531</v>
      </c>
      <c r="B20" s="334"/>
      <c r="C20" s="217" t="s">
        <v>532</v>
      </c>
      <c r="D20" s="153">
        <f>ROUNDUP(3.14159*D18^2*D19,1)</f>
        <v>0</v>
      </c>
      <c r="E20" s="144" t="s">
        <v>2</v>
      </c>
      <c r="F20" s="387"/>
      <c r="G20" s="388"/>
      <c r="H20" s="389"/>
    </row>
    <row r="21" spans="1:16" ht="12.75" customHeight="1" x14ac:dyDescent="0.35">
      <c r="A21" s="334" t="s">
        <v>533</v>
      </c>
      <c r="B21" s="334"/>
      <c r="C21" s="217" t="s">
        <v>534</v>
      </c>
      <c r="D21" s="46"/>
      <c r="E21" s="144" t="s">
        <v>271</v>
      </c>
      <c r="F21" s="387"/>
      <c r="G21" s="388"/>
      <c r="H21" s="389"/>
    </row>
    <row r="22" spans="1:16" ht="15" customHeight="1" x14ac:dyDescent="0.35">
      <c r="A22" s="334" t="s">
        <v>535</v>
      </c>
      <c r="B22" s="334"/>
      <c r="C22" s="217" t="s">
        <v>536</v>
      </c>
      <c r="D22" s="154">
        <f>ROUNDUP(D19*0.4*(3.14159*((D18+D21+D14)^2-((D18+D21)^2))),1)</f>
        <v>0</v>
      </c>
      <c r="E22" s="144" t="s">
        <v>2</v>
      </c>
      <c r="F22" s="387"/>
      <c r="G22" s="388"/>
      <c r="H22" s="389"/>
    </row>
    <row r="23" spans="1:16" ht="15" customHeight="1" x14ac:dyDescent="0.35">
      <c r="A23" s="334" t="s">
        <v>537</v>
      </c>
      <c r="B23" s="334"/>
      <c r="C23" s="217" t="s">
        <v>538</v>
      </c>
      <c r="D23" s="154">
        <f>D20+D22</f>
        <v>0</v>
      </c>
      <c r="E23" s="144" t="s">
        <v>2</v>
      </c>
      <c r="F23" s="387"/>
      <c r="G23" s="388"/>
      <c r="H23" s="389"/>
    </row>
    <row r="24" spans="1:16" ht="15" customHeight="1" x14ac:dyDescent="0.35">
      <c r="A24" s="334" t="s">
        <v>539</v>
      </c>
      <c r="B24" s="334"/>
      <c r="C24" s="217" t="s">
        <v>416</v>
      </c>
      <c r="D24" s="43"/>
      <c r="E24" s="144"/>
      <c r="F24" s="387"/>
      <c r="G24" s="388"/>
      <c r="H24" s="389"/>
    </row>
    <row r="25" spans="1:16" ht="30.65" customHeight="1" x14ac:dyDescent="0.35">
      <c r="A25" s="334" t="s">
        <v>540</v>
      </c>
      <c r="B25" s="334"/>
      <c r="C25" s="217" t="s">
        <v>303</v>
      </c>
      <c r="D25" s="198">
        <f>D23*D24</f>
        <v>0</v>
      </c>
      <c r="E25" s="144" t="s">
        <v>2</v>
      </c>
      <c r="F25" s="387" t="str">
        <f>IF(D25=0,"",IF(D25&lt;F4,"Does not meet sizing criteria",""))</f>
        <v/>
      </c>
      <c r="G25" s="388"/>
      <c r="H25" s="389"/>
    </row>
    <row r="26" spans="1:16" ht="15" customHeight="1" x14ac:dyDescent="0.35">
      <c r="A26" s="412" t="s">
        <v>372</v>
      </c>
      <c r="B26" s="412"/>
      <c r="C26" s="412"/>
      <c r="D26" s="412"/>
      <c r="E26" s="412"/>
      <c r="F26" s="412"/>
      <c r="G26" s="412"/>
      <c r="H26" s="412"/>
    </row>
    <row r="27" spans="1:16" ht="15" customHeight="1" x14ac:dyDescent="0.35">
      <c r="A27" s="335" t="s">
        <v>241</v>
      </c>
      <c r="B27" s="335"/>
      <c r="C27" s="9" t="str">
        <f>IF(A4="","",IF(D8="Yes",0,IF(D6&lt;0.5,0,IF(D11&lt;2,0,IF(D12&lt;2,0,IF(AND(D6&lt;=10,D13&lt;(F4*0.25)),0,IF(AND(D6&gt;10,D13&lt;(F4*0.5)),0,IF(D14&lt;1,0,IF(D15="No",0,IF(D25&lt;F4,0,F4*1))))))))))</f>
        <v/>
      </c>
      <c r="D27" s="339" t="s">
        <v>2</v>
      </c>
      <c r="E27" s="340"/>
      <c r="F27" s="340"/>
      <c r="G27" s="340"/>
      <c r="H27" s="341"/>
    </row>
    <row r="28" spans="1:16" ht="13.15" customHeight="1" x14ac:dyDescent="0.35">
      <c r="A28" s="16" t="s">
        <v>56</v>
      </c>
      <c r="B28" s="225" t="str">
        <f>IF('STEP 2-WQv Calculation'!$B$4="","",'STEP 2-WQv Calculation'!$B$4)</f>
        <v/>
      </c>
    </row>
    <row r="29" spans="1:16" ht="13.15" customHeight="1" x14ac:dyDescent="0.35">
      <c r="A29" s="236" t="s">
        <v>293</v>
      </c>
      <c r="B29" s="237"/>
      <c r="C29" s="237"/>
      <c r="D29" s="237"/>
      <c r="E29" s="237"/>
      <c r="F29" s="237"/>
      <c r="G29" s="237"/>
      <c r="H29" s="238"/>
    </row>
    <row r="30" spans="1:16" ht="38.5" x14ac:dyDescent="0.35">
      <c r="A30" s="204" t="s">
        <v>60</v>
      </c>
      <c r="B30" s="205" t="s">
        <v>61</v>
      </c>
      <c r="C30" s="205" t="s">
        <v>62</v>
      </c>
      <c r="D30" s="205" t="s">
        <v>63</v>
      </c>
      <c r="E30" s="205" t="s">
        <v>64</v>
      </c>
      <c r="F30" s="205" t="s">
        <v>65</v>
      </c>
      <c r="G30" s="205" t="s">
        <v>244</v>
      </c>
      <c r="H30" s="206" t="s">
        <v>13</v>
      </c>
    </row>
    <row r="31" spans="1:16" x14ac:dyDescent="0.35">
      <c r="A31" s="218"/>
      <c r="B31" s="3" t="str">
        <f>IF($A31="","",(LOOKUP($A31,'STEP 2-WQv Calculation'!$A$8:$A$37,'STEP 2-WQv Calculation'!$B$8:$B$37)))</f>
        <v/>
      </c>
      <c r="C31" s="3" t="str">
        <f>IF($A31="","",(LOOKUP($A31,'STEP 2-WQv Calculation'!$A$8:$A$37,'STEP 2-WQv Calculation'!$C$8:$C$37)))</f>
        <v/>
      </c>
      <c r="D31" s="212" t="str">
        <f>IF($A31="","",(LOOKUP($A31,'STEP 2-WQv Calculation'!$A$8:$A$37,'STEP 2-WQv Calculation'!$D$8:$D$37)))</f>
        <v/>
      </c>
      <c r="E31" s="3" t="str">
        <f>IF($A31="","",(LOOKUP($A31,'STEP 2-WQv Calculation'!$A$8:$A$37,'STEP 2-WQv Calculation'!$E$8:$E$37)))</f>
        <v/>
      </c>
      <c r="F31" s="217" t="str">
        <f>IF($A31="","",(LOOKUP($A31,'STEP 2-WQv Calculation'!$A$8:$A$37,'STEP 2-WQv Calculation'!$F$8:$F$37)))</f>
        <v/>
      </c>
      <c r="G31" s="22">
        <f>'STEP 2-WQv Calculation'!B5</f>
        <v>0</v>
      </c>
      <c r="H31" s="198" t="str">
        <f>IF($A31="","",(LOOKUP($A31,'STEP 2-WQv Calculation'!$A$8:$A$37,'STEP 2-WQv Calculation'!$G$8:$G$37)))</f>
        <v/>
      </c>
    </row>
    <row r="32" spans="1:16" ht="13.15" customHeight="1" x14ac:dyDescent="0.35">
      <c r="A32" s="409" t="s">
        <v>226</v>
      </c>
      <c r="B32" s="410"/>
      <c r="C32" s="410"/>
      <c r="D32" s="410"/>
      <c r="E32" s="410"/>
      <c r="F32" s="410"/>
      <c r="G32" s="410"/>
      <c r="H32" s="411"/>
    </row>
    <row r="33" spans="1:9" ht="28.9" customHeight="1" x14ac:dyDescent="0.35">
      <c r="A33" s="242" t="s">
        <v>295</v>
      </c>
      <c r="B33" s="243"/>
      <c r="C33" s="244"/>
      <c r="D33" s="44"/>
      <c r="E33" s="322" t="str">
        <f>IF(D33="","",IF(D33&lt;0.5,"Does not meet design criteria",""))</f>
        <v/>
      </c>
      <c r="F33" s="323"/>
      <c r="G33" s="323"/>
      <c r="H33" s="324"/>
    </row>
    <row r="34" spans="1:9" ht="30.25" customHeight="1" x14ac:dyDescent="0.35">
      <c r="A34" s="242" t="s">
        <v>717</v>
      </c>
      <c r="B34" s="243"/>
      <c r="C34" s="244"/>
      <c r="D34" s="211"/>
      <c r="E34" s="322" t="str">
        <f>IF(D34="Yes","Two treatment practices in series required. Refer to Section 6.3.1","")</f>
        <v/>
      </c>
      <c r="F34" s="323"/>
      <c r="G34" s="323"/>
      <c r="H34" s="324"/>
    </row>
    <row r="35" spans="1:9" s="1" customFormat="1" ht="26.5" customHeight="1" x14ac:dyDescent="0.35">
      <c r="A35" s="242" t="s">
        <v>718</v>
      </c>
      <c r="B35" s="243"/>
      <c r="C35" s="244"/>
      <c r="D35" s="211"/>
      <c r="E35" s="322" t="str">
        <f>IF(D35="","See Section 4.14 of the Design Manual",IF(D35="Yes","Does not meet design criteria",""))</f>
        <v>See Section 4.14 of the Design Manual</v>
      </c>
      <c r="F35" s="323"/>
      <c r="G35" s="323"/>
      <c r="H35" s="324"/>
      <c r="I35" s="4"/>
    </row>
    <row r="36" spans="1:9" ht="28.9" customHeight="1" x14ac:dyDescent="0.35">
      <c r="A36" s="242" t="s">
        <v>525</v>
      </c>
      <c r="B36" s="243"/>
      <c r="C36" s="244"/>
      <c r="D36" s="135" t="str">
        <f>B31</f>
        <v/>
      </c>
      <c r="E36" s="322" t="str">
        <f>IF(D36="","",IF(D36&gt;0.5,"For larger tributary areas, use multiple dry wells in series",""))</f>
        <v/>
      </c>
      <c r="F36" s="323"/>
      <c r="G36" s="323"/>
      <c r="H36" s="324"/>
    </row>
    <row r="37" spans="1:9" ht="28.9" customHeight="1" x14ac:dyDescent="0.35">
      <c r="A37" s="242" t="s">
        <v>703</v>
      </c>
      <c r="B37" s="406"/>
      <c r="C37" s="407"/>
      <c r="D37" s="43"/>
      <c r="E37" s="322"/>
      <c r="F37" s="406"/>
      <c r="G37" s="406"/>
      <c r="H37" s="407"/>
    </row>
    <row r="38" spans="1:9" ht="12.75" customHeight="1" x14ac:dyDescent="0.35">
      <c r="A38" s="242" t="s">
        <v>296</v>
      </c>
      <c r="B38" s="243"/>
      <c r="C38" s="244"/>
      <c r="D38" s="43"/>
      <c r="E38" s="322" t="str">
        <f>IF(OR(AND(D37="Yes",D38&lt;4),AND(D37="No",D38&lt;2)),"Does not meet design criteria","")</f>
        <v/>
      </c>
      <c r="F38" s="323"/>
      <c r="G38" s="323"/>
      <c r="H38" s="324"/>
    </row>
    <row r="39" spans="1:9" ht="15" customHeight="1" x14ac:dyDescent="0.35">
      <c r="A39" s="242" t="s">
        <v>297</v>
      </c>
      <c r="B39" s="243"/>
      <c r="C39" s="244"/>
      <c r="D39" s="43"/>
      <c r="E39" s="322" t="str">
        <f>IF(D39="","",IF(D39&lt;2,"Does not meet design criteria",""))</f>
        <v/>
      </c>
      <c r="F39" s="323"/>
      <c r="G39" s="323"/>
      <c r="H39" s="324"/>
    </row>
    <row r="40" spans="1:9" ht="15" customHeight="1" x14ac:dyDescent="0.35">
      <c r="A40" s="242" t="s">
        <v>507</v>
      </c>
      <c r="B40" s="243"/>
      <c r="C40" s="244"/>
      <c r="D40" s="43"/>
      <c r="E40" s="322" t="str">
        <f>IF(D40="","",IF(AND(D33&lt;=10,D40&lt;(F31*0.25)),"Does not meet design criteria",IF(AND(D33&gt;10,D40&lt;(F31*0.5)),"Does not meet design criteria","")))</f>
        <v/>
      </c>
      <c r="F40" s="323"/>
      <c r="G40" s="323"/>
      <c r="H40" s="324"/>
    </row>
    <row r="41" spans="1:9" ht="15" customHeight="1" x14ac:dyDescent="0.35">
      <c r="A41" s="242" t="s">
        <v>526</v>
      </c>
      <c r="B41" s="243"/>
      <c r="C41" s="244"/>
      <c r="D41" s="43"/>
      <c r="E41" s="322" t="str">
        <f>IF(D41="","",IF(D41&lt;1,"Does not meet design criteria",""))</f>
        <v/>
      </c>
      <c r="F41" s="323"/>
      <c r="G41" s="323"/>
      <c r="H41" s="324"/>
    </row>
    <row r="42" spans="1:9" ht="15" customHeight="1" x14ac:dyDescent="0.35">
      <c r="A42" s="242" t="s">
        <v>510</v>
      </c>
      <c r="B42" s="243"/>
      <c r="C42" s="244"/>
      <c r="D42" s="211"/>
      <c r="E42" s="322" t="str">
        <f>IF(D42="No","Does not meet design criteria","")</f>
        <v/>
      </c>
      <c r="F42" s="323"/>
      <c r="G42" s="323"/>
      <c r="H42" s="324"/>
    </row>
    <row r="43" spans="1:9" ht="15" customHeight="1" x14ac:dyDescent="0.35">
      <c r="A43" s="409" t="s">
        <v>232</v>
      </c>
      <c r="B43" s="410"/>
      <c r="C43" s="410"/>
      <c r="D43" s="410"/>
      <c r="E43" s="410"/>
      <c r="F43" s="410"/>
      <c r="G43" s="410"/>
      <c r="H43" s="411"/>
    </row>
    <row r="44" spans="1:9" x14ac:dyDescent="0.35">
      <c r="A44" s="378"/>
      <c r="B44" s="379"/>
      <c r="C44" s="380"/>
      <c r="D44" s="222" t="s">
        <v>256</v>
      </c>
      <c r="E44" s="208" t="s">
        <v>257</v>
      </c>
      <c r="F44" s="375" t="s">
        <v>258</v>
      </c>
      <c r="G44" s="376"/>
      <c r="H44" s="377"/>
    </row>
    <row r="45" spans="1:9" ht="15" customHeight="1" x14ac:dyDescent="0.35">
      <c r="A45" s="334" t="s">
        <v>527</v>
      </c>
      <c r="B45" s="334"/>
      <c r="C45" s="217" t="s">
        <v>528</v>
      </c>
      <c r="D45" s="46"/>
      <c r="E45" s="144" t="s">
        <v>271</v>
      </c>
      <c r="F45" s="387"/>
      <c r="G45" s="388"/>
      <c r="H45" s="389"/>
    </row>
    <row r="46" spans="1:9" ht="15" customHeight="1" x14ac:dyDescent="0.35">
      <c r="A46" s="289" t="s">
        <v>529</v>
      </c>
      <c r="B46" s="289"/>
      <c r="C46" s="198" t="s">
        <v>530</v>
      </c>
      <c r="D46" s="46"/>
      <c r="E46" s="193" t="s">
        <v>271</v>
      </c>
      <c r="F46" s="344"/>
      <c r="G46" s="344"/>
      <c r="H46" s="344"/>
    </row>
    <row r="47" spans="1:9" ht="12.75" customHeight="1" x14ac:dyDescent="0.35">
      <c r="A47" s="334" t="s">
        <v>531</v>
      </c>
      <c r="B47" s="334"/>
      <c r="C47" s="217" t="s">
        <v>532</v>
      </c>
      <c r="D47" s="153">
        <f>ROUNDUP(3.14159*D45^2*D46,1)</f>
        <v>0</v>
      </c>
      <c r="E47" s="144" t="s">
        <v>2</v>
      </c>
      <c r="F47" s="387"/>
      <c r="G47" s="388"/>
      <c r="H47" s="389"/>
    </row>
    <row r="48" spans="1:9" ht="15" customHeight="1" x14ac:dyDescent="0.35">
      <c r="A48" s="334" t="s">
        <v>533</v>
      </c>
      <c r="B48" s="334"/>
      <c r="C48" s="217" t="s">
        <v>534</v>
      </c>
      <c r="D48" s="46"/>
      <c r="E48" s="144" t="s">
        <v>271</v>
      </c>
      <c r="F48" s="387"/>
      <c r="G48" s="388"/>
      <c r="H48" s="389"/>
    </row>
    <row r="49" spans="1:9" ht="15" customHeight="1" x14ac:dyDescent="0.35">
      <c r="A49" s="334" t="s">
        <v>535</v>
      </c>
      <c r="B49" s="334"/>
      <c r="C49" s="217" t="s">
        <v>536</v>
      </c>
      <c r="D49" s="154">
        <f>ROUNDUP(D46*0.4*(3.14159*((D45+D48+D41)^2-((D45+D48)^2))),1)</f>
        <v>0</v>
      </c>
      <c r="E49" s="144" t="s">
        <v>2</v>
      </c>
      <c r="F49" s="387"/>
      <c r="G49" s="388"/>
      <c r="H49" s="389"/>
    </row>
    <row r="50" spans="1:9" ht="15" customHeight="1" x14ac:dyDescent="0.35">
      <c r="A50" s="334" t="s">
        <v>537</v>
      </c>
      <c r="B50" s="334"/>
      <c r="C50" s="217" t="s">
        <v>538</v>
      </c>
      <c r="D50" s="154">
        <f>D47+D49</f>
        <v>0</v>
      </c>
      <c r="E50" s="144" t="s">
        <v>2</v>
      </c>
      <c r="F50" s="387"/>
      <c r="G50" s="388"/>
      <c r="H50" s="389"/>
    </row>
    <row r="51" spans="1:9" ht="15" customHeight="1" x14ac:dyDescent="0.35">
      <c r="A51" s="334" t="s">
        <v>539</v>
      </c>
      <c r="B51" s="334"/>
      <c r="C51" s="217" t="s">
        <v>416</v>
      </c>
      <c r="D51" s="43"/>
      <c r="E51" s="144"/>
      <c r="F51" s="387"/>
      <c r="G51" s="388"/>
      <c r="H51" s="389"/>
    </row>
    <row r="52" spans="1:9" ht="28.9" customHeight="1" x14ac:dyDescent="0.35">
      <c r="A52" s="334" t="s">
        <v>540</v>
      </c>
      <c r="B52" s="334"/>
      <c r="C52" s="217" t="s">
        <v>303</v>
      </c>
      <c r="D52" s="198">
        <f>D50*D51</f>
        <v>0</v>
      </c>
      <c r="E52" s="144" t="s">
        <v>2</v>
      </c>
      <c r="F52" s="387" t="str">
        <f>IF(D52=0,"",IF(D52&lt;F31,"Does not meet sizing criteria",""))</f>
        <v/>
      </c>
      <c r="G52" s="388"/>
      <c r="H52" s="389"/>
    </row>
    <row r="53" spans="1:9" ht="15" customHeight="1" x14ac:dyDescent="0.35">
      <c r="A53" s="412" t="s">
        <v>372</v>
      </c>
      <c r="B53" s="412"/>
      <c r="C53" s="412"/>
      <c r="D53" s="412"/>
      <c r="E53" s="412"/>
      <c r="F53" s="412"/>
      <c r="G53" s="412"/>
      <c r="H53" s="412"/>
    </row>
    <row r="54" spans="1:9" ht="15" customHeight="1" x14ac:dyDescent="0.35">
      <c r="A54" s="335" t="s">
        <v>241</v>
      </c>
      <c r="B54" s="335"/>
      <c r="C54" s="9" t="str">
        <f>IF(A31="","",IF(D35="Yes",0,IF(D33&lt;0.5,0,IF(D38&lt;2,0,IF(D39&lt;2,0,IF(AND(D33&lt;=10,D40&lt;(F31*0.25)),0,IF(AND(D33&gt;10,D40&lt;(F31*0.5)),0,IF(D41&lt;1,0,IF(D42="No",0,IF(D52&lt;F31,0,F31*1))))))))))</f>
        <v/>
      </c>
      <c r="D54" s="339" t="s">
        <v>2</v>
      </c>
      <c r="E54" s="340"/>
      <c r="F54" s="340"/>
      <c r="G54" s="340"/>
      <c r="H54" s="341"/>
    </row>
    <row r="55" spans="1:9" ht="13" x14ac:dyDescent="0.35">
      <c r="A55" s="16" t="s">
        <v>56</v>
      </c>
      <c r="B55" s="225" t="str">
        <f>IF('STEP 2-WQv Calculation'!$B$4="","",'STEP 2-WQv Calculation'!$B$4)</f>
        <v/>
      </c>
    </row>
    <row r="56" spans="1:9" ht="15" customHeight="1" x14ac:dyDescent="0.35">
      <c r="A56" s="236" t="s">
        <v>293</v>
      </c>
      <c r="B56" s="237"/>
      <c r="C56" s="237"/>
      <c r="D56" s="237"/>
      <c r="E56" s="237"/>
      <c r="F56" s="237"/>
      <c r="G56" s="237"/>
      <c r="H56" s="238"/>
    </row>
    <row r="57" spans="1:9" ht="38.5" x14ac:dyDescent="0.35">
      <c r="A57" s="204" t="s">
        <v>60</v>
      </c>
      <c r="B57" s="205" t="s">
        <v>61</v>
      </c>
      <c r="C57" s="205" t="s">
        <v>62</v>
      </c>
      <c r="D57" s="205" t="s">
        <v>63</v>
      </c>
      <c r="E57" s="205" t="s">
        <v>64</v>
      </c>
      <c r="F57" s="205" t="s">
        <v>65</v>
      </c>
      <c r="G57" s="205" t="s">
        <v>244</v>
      </c>
      <c r="H57" s="206" t="s">
        <v>13</v>
      </c>
    </row>
    <row r="58" spans="1:9" x14ac:dyDescent="0.35">
      <c r="A58" s="218"/>
      <c r="B58" s="3" t="str">
        <f>IF($A58="","",(LOOKUP($A58,'STEP 2-WQv Calculation'!$A$8:$A$37,'STEP 2-WQv Calculation'!$B$8:$B$37)))</f>
        <v/>
      </c>
      <c r="C58" s="3" t="str">
        <f>IF($A58="","",(LOOKUP($A58,'STEP 2-WQv Calculation'!$A$8:$A$37,'STEP 2-WQv Calculation'!$C$8:$C$37)))</f>
        <v/>
      </c>
      <c r="D58" s="212" t="str">
        <f>IF($A58="","",(LOOKUP($A58,'STEP 2-WQv Calculation'!$A$8:$A$37,'STEP 2-WQv Calculation'!$D$8:$D$37)))</f>
        <v/>
      </c>
      <c r="E58" s="3" t="str">
        <f>IF($A58="","",(LOOKUP($A58,'STEP 2-WQv Calculation'!$A$8:$A$37,'STEP 2-WQv Calculation'!$E$8:$E$37)))</f>
        <v/>
      </c>
      <c r="F58" s="217" t="str">
        <f>IF($A58="","",(LOOKUP($A58,'STEP 2-WQv Calculation'!$A$8:$A$37,'STEP 2-WQv Calculation'!$F$8:$F$37)))</f>
        <v/>
      </c>
      <c r="G58" s="22">
        <f>'STEP 2-WQv Calculation'!B5</f>
        <v>0</v>
      </c>
      <c r="H58" s="198" t="str">
        <f>IF($A58="","",(LOOKUP($A58,'STEP 2-WQv Calculation'!$A$8:$A$37,'STEP 2-WQv Calculation'!$G$8:$G$37)))</f>
        <v/>
      </c>
    </row>
    <row r="59" spans="1:9" ht="15" customHeight="1" x14ac:dyDescent="0.35">
      <c r="A59" s="409" t="s">
        <v>226</v>
      </c>
      <c r="B59" s="410"/>
      <c r="C59" s="410"/>
      <c r="D59" s="410"/>
      <c r="E59" s="410"/>
      <c r="F59" s="410"/>
      <c r="G59" s="410"/>
      <c r="H59" s="411"/>
    </row>
    <row r="60" spans="1:9" ht="30.25" customHeight="1" x14ac:dyDescent="0.35">
      <c r="A60" s="242" t="s">
        <v>295</v>
      </c>
      <c r="B60" s="243"/>
      <c r="C60" s="244"/>
      <c r="D60" s="44"/>
      <c r="E60" s="322" t="str">
        <f>IF(D60="","",IF(D60&lt;0.5,"Does not meet design criteria",""))</f>
        <v/>
      </c>
      <c r="F60" s="323"/>
      <c r="G60" s="323"/>
      <c r="H60" s="324"/>
    </row>
    <row r="61" spans="1:9" ht="28.9" customHeight="1" x14ac:dyDescent="0.35">
      <c r="A61" s="242" t="s">
        <v>717</v>
      </c>
      <c r="B61" s="243"/>
      <c r="C61" s="244"/>
      <c r="D61" s="211"/>
      <c r="E61" s="322" t="str">
        <f>IF(D61="Yes","Two treatment practices in series required. Refer to Section 6.3.1","")</f>
        <v/>
      </c>
      <c r="F61" s="323"/>
      <c r="G61" s="323"/>
      <c r="H61" s="324"/>
    </row>
    <row r="62" spans="1:9" s="1" customFormat="1" ht="26.5" customHeight="1" x14ac:dyDescent="0.35">
      <c r="A62" s="242" t="s">
        <v>718</v>
      </c>
      <c r="B62" s="243"/>
      <c r="C62" s="244"/>
      <c r="D62" s="211"/>
      <c r="E62" s="322" t="str">
        <f>IF(D62="","See Section 4.14 of the Design Manual",IF(D62="Yes","Does not meet design criteria",""))</f>
        <v>See Section 4.14 of the Design Manual</v>
      </c>
      <c r="F62" s="323"/>
      <c r="G62" s="323"/>
      <c r="H62" s="324"/>
      <c r="I62" s="4"/>
    </row>
    <row r="63" spans="1:9" ht="28.9" customHeight="1" x14ac:dyDescent="0.35">
      <c r="A63" s="242" t="s">
        <v>525</v>
      </c>
      <c r="B63" s="243"/>
      <c r="C63" s="244"/>
      <c r="D63" s="135" t="str">
        <f>B58</f>
        <v/>
      </c>
      <c r="E63" s="322" t="str">
        <f>IF(D63="","",IF(D63&gt;0.5,"For larger tributary areas, use multiple dry wells in series",""))</f>
        <v/>
      </c>
      <c r="F63" s="323"/>
      <c r="G63" s="323"/>
      <c r="H63" s="324"/>
    </row>
    <row r="64" spans="1:9" ht="28.9" customHeight="1" x14ac:dyDescent="0.35">
      <c r="A64" s="242" t="s">
        <v>703</v>
      </c>
      <c r="B64" s="406"/>
      <c r="C64" s="407"/>
      <c r="D64" s="43"/>
      <c r="E64" s="322"/>
      <c r="F64" s="406"/>
      <c r="G64" s="406"/>
      <c r="H64" s="407"/>
    </row>
    <row r="65" spans="1:8" ht="12.75" customHeight="1" x14ac:dyDescent="0.35">
      <c r="A65" s="242" t="s">
        <v>296</v>
      </c>
      <c r="B65" s="243"/>
      <c r="C65" s="244"/>
      <c r="D65" s="43"/>
      <c r="E65" s="322" t="str">
        <f>IF(OR(AND(D64="Yes",D65&lt;4),AND(D64="No",D65&lt;2)),"Does not meet design criteria","")</f>
        <v/>
      </c>
      <c r="F65" s="323"/>
      <c r="G65" s="323"/>
      <c r="H65" s="324"/>
    </row>
    <row r="66" spans="1:8" ht="12.75" customHeight="1" x14ac:dyDescent="0.35">
      <c r="A66" s="242" t="s">
        <v>297</v>
      </c>
      <c r="B66" s="243"/>
      <c r="C66" s="244"/>
      <c r="D66" s="43"/>
      <c r="E66" s="322" t="str">
        <f>IF(D66="","",IF(D66&lt;2,"Does not meet design criteria",""))</f>
        <v/>
      </c>
      <c r="F66" s="323"/>
      <c r="G66" s="323"/>
      <c r="H66" s="324"/>
    </row>
    <row r="67" spans="1:8" ht="15" customHeight="1" x14ac:dyDescent="0.35">
      <c r="A67" s="242" t="s">
        <v>507</v>
      </c>
      <c r="B67" s="243"/>
      <c r="C67" s="244"/>
      <c r="D67" s="43"/>
      <c r="E67" s="322" t="str">
        <f>IF(D67="","",IF(AND(D60&lt;=10,D67&lt;(F58*0.25)),"Does not meet design criteria",IF(AND(D60&gt;10,D67&lt;(F58*0.5)),"Does not meet design criteria","")))</f>
        <v/>
      </c>
      <c r="F67" s="323"/>
      <c r="G67" s="323"/>
      <c r="H67" s="324"/>
    </row>
    <row r="68" spans="1:8" ht="12.75" customHeight="1" x14ac:dyDescent="0.35">
      <c r="A68" s="242" t="s">
        <v>526</v>
      </c>
      <c r="B68" s="243"/>
      <c r="C68" s="244"/>
      <c r="D68" s="43"/>
      <c r="E68" s="322" t="str">
        <f>IF(D68="","",IF(D68&lt;1,"Does not meet design criteria",""))</f>
        <v/>
      </c>
      <c r="F68" s="323"/>
      <c r="G68" s="323"/>
      <c r="H68" s="324"/>
    </row>
    <row r="69" spans="1:8" ht="12.75" customHeight="1" x14ac:dyDescent="0.35">
      <c r="A69" s="242" t="s">
        <v>510</v>
      </c>
      <c r="B69" s="243"/>
      <c r="C69" s="244"/>
      <c r="D69" s="211"/>
      <c r="E69" s="322" t="str">
        <f>IF(D69="No","Does not meet design criteria","")</f>
        <v/>
      </c>
      <c r="F69" s="323"/>
      <c r="G69" s="323"/>
      <c r="H69" s="324"/>
    </row>
    <row r="70" spans="1:8" ht="13.15" customHeight="1" x14ac:dyDescent="0.35">
      <c r="A70" s="409" t="s">
        <v>232</v>
      </c>
      <c r="B70" s="410"/>
      <c r="C70" s="410"/>
      <c r="D70" s="410"/>
      <c r="E70" s="410"/>
      <c r="F70" s="410"/>
      <c r="G70" s="410"/>
      <c r="H70" s="411"/>
    </row>
    <row r="71" spans="1:8" ht="15" customHeight="1" x14ac:dyDescent="0.35">
      <c r="A71" s="378"/>
      <c r="B71" s="379"/>
      <c r="C71" s="380"/>
      <c r="D71" s="222" t="s">
        <v>256</v>
      </c>
      <c r="E71" s="208" t="s">
        <v>257</v>
      </c>
      <c r="F71" s="375" t="s">
        <v>258</v>
      </c>
      <c r="G71" s="376"/>
      <c r="H71" s="377"/>
    </row>
    <row r="72" spans="1:8" ht="15" customHeight="1" x14ac:dyDescent="0.35">
      <c r="A72" s="334" t="s">
        <v>527</v>
      </c>
      <c r="B72" s="334"/>
      <c r="C72" s="217" t="s">
        <v>528</v>
      </c>
      <c r="D72" s="46"/>
      <c r="E72" s="144" t="s">
        <v>271</v>
      </c>
      <c r="F72" s="387"/>
      <c r="G72" s="388"/>
      <c r="H72" s="389"/>
    </row>
    <row r="73" spans="1:8" ht="15" customHeight="1" x14ac:dyDescent="0.35">
      <c r="A73" s="289" t="s">
        <v>529</v>
      </c>
      <c r="B73" s="289"/>
      <c r="C73" s="198" t="s">
        <v>530</v>
      </c>
      <c r="D73" s="46"/>
      <c r="E73" s="193" t="s">
        <v>271</v>
      </c>
      <c r="F73" s="344"/>
      <c r="G73" s="344"/>
      <c r="H73" s="344"/>
    </row>
    <row r="74" spans="1:8" ht="15" customHeight="1" x14ac:dyDescent="0.35">
      <c r="A74" s="334" t="s">
        <v>531</v>
      </c>
      <c r="B74" s="334"/>
      <c r="C74" s="217" t="s">
        <v>532</v>
      </c>
      <c r="D74" s="153">
        <f>ROUNDUP(3.14159*D72^2*D73,1)</f>
        <v>0</v>
      </c>
      <c r="E74" s="144" t="s">
        <v>2</v>
      </c>
      <c r="F74" s="387"/>
      <c r="G74" s="388"/>
      <c r="H74" s="389"/>
    </row>
    <row r="75" spans="1:8" ht="15" customHeight="1" x14ac:dyDescent="0.35">
      <c r="A75" s="334" t="s">
        <v>533</v>
      </c>
      <c r="B75" s="334"/>
      <c r="C75" s="217" t="s">
        <v>534</v>
      </c>
      <c r="D75" s="46"/>
      <c r="E75" s="144" t="s">
        <v>271</v>
      </c>
      <c r="F75" s="387"/>
      <c r="G75" s="388"/>
      <c r="H75" s="389"/>
    </row>
    <row r="76" spans="1:8" ht="12.75" customHeight="1" x14ac:dyDescent="0.35">
      <c r="A76" s="334" t="s">
        <v>535</v>
      </c>
      <c r="B76" s="334"/>
      <c r="C76" s="217" t="s">
        <v>536</v>
      </c>
      <c r="D76" s="154">
        <f>ROUNDUP(D73*0.4*(3.14159*((D72+D75+D68)^2-((D72+D75)^2))),1)</f>
        <v>0</v>
      </c>
      <c r="E76" s="144" t="s">
        <v>2</v>
      </c>
      <c r="F76" s="387"/>
      <c r="G76" s="388"/>
      <c r="H76" s="389"/>
    </row>
    <row r="77" spans="1:8" ht="15" customHeight="1" x14ac:dyDescent="0.35">
      <c r="A77" s="334" t="s">
        <v>537</v>
      </c>
      <c r="B77" s="334"/>
      <c r="C77" s="217" t="s">
        <v>538</v>
      </c>
      <c r="D77" s="154">
        <f>D74+D76</f>
        <v>0</v>
      </c>
      <c r="E77" s="144" t="s">
        <v>2</v>
      </c>
      <c r="F77" s="387"/>
      <c r="G77" s="388"/>
      <c r="H77" s="389"/>
    </row>
    <row r="78" spans="1:8" ht="15" customHeight="1" x14ac:dyDescent="0.35">
      <c r="A78" s="334" t="s">
        <v>539</v>
      </c>
      <c r="B78" s="334"/>
      <c r="C78" s="217" t="s">
        <v>416</v>
      </c>
      <c r="D78" s="43"/>
      <c r="E78" s="144"/>
      <c r="F78" s="387"/>
      <c r="G78" s="388"/>
      <c r="H78" s="389"/>
    </row>
    <row r="79" spans="1:8" ht="28.9" customHeight="1" x14ac:dyDescent="0.35">
      <c r="A79" s="334" t="s">
        <v>540</v>
      </c>
      <c r="B79" s="334"/>
      <c r="C79" s="217" t="s">
        <v>303</v>
      </c>
      <c r="D79" s="198">
        <f>D77*D78</f>
        <v>0</v>
      </c>
      <c r="E79" s="144" t="s">
        <v>2</v>
      </c>
      <c r="F79" s="387" t="str">
        <f>IF(D79=0,"",IF(D79&lt;F58,"Does not meet sizing criteria",""))</f>
        <v/>
      </c>
      <c r="G79" s="388"/>
      <c r="H79" s="389"/>
    </row>
    <row r="80" spans="1:8" ht="15" customHeight="1" x14ac:dyDescent="0.35">
      <c r="A80" s="412" t="s">
        <v>372</v>
      </c>
      <c r="B80" s="412"/>
      <c r="C80" s="412"/>
      <c r="D80" s="412"/>
      <c r="E80" s="412"/>
      <c r="F80" s="412"/>
      <c r="G80" s="412"/>
      <c r="H80" s="412"/>
    </row>
    <row r="81" spans="1:9" ht="15" customHeight="1" x14ac:dyDescent="0.35">
      <c r="A81" s="335" t="s">
        <v>241</v>
      </c>
      <c r="B81" s="335"/>
      <c r="C81" s="9" t="str">
        <f>IF(A58="","",IF(D62="Yes",0,IF(D60&lt;0.5,0,IF(D65&lt;2,0,IF(D66&lt;2,0,IF(AND(D60&lt;=10,D67&lt;(F58*0.25)),0,IF(AND(D60&gt;10,D67&lt;(F58*0.5)),0,IF(D68&lt;1,0,IF(D69="No",0,IF(D79&lt;F58,0,F58*1))))))))))</f>
        <v/>
      </c>
      <c r="D81" s="339" t="s">
        <v>2</v>
      </c>
      <c r="E81" s="340"/>
      <c r="F81" s="340"/>
      <c r="G81" s="340"/>
      <c r="H81" s="341"/>
    </row>
    <row r="82" spans="1:9" ht="13" x14ac:dyDescent="0.35">
      <c r="A82" s="16" t="s">
        <v>56</v>
      </c>
      <c r="B82" s="225" t="str">
        <f>IF('STEP 2-WQv Calculation'!$B$4="","",'STEP 2-WQv Calculation'!$B$4)</f>
        <v/>
      </c>
    </row>
    <row r="83" spans="1:9" ht="15" customHeight="1" x14ac:dyDescent="0.35">
      <c r="A83" s="236" t="s">
        <v>293</v>
      </c>
      <c r="B83" s="237"/>
      <c r="C83" s="237"/>
      <c r="D83" s="237"/>
      <c r="E83" s="237"/>
      <c r="F83" s="237"/>
      <c r="G83" s="237"/>
      <c r="H83" s="238"/>
    </row>
    <row r="84" spans="1:9" ht="38.5" x14ac:dyDescent="0.35">
      <c r="A84" s="204" t="s">
        <v>60</v>
      </c>
      <c r="B84" s="205" t="s">
        <v>61</v>
      </c>
      <c r="C84" s="205" t="s">
        <v>62</v>
      </c>
      <c r="D84" s="205" t="s">
        <v>63</v>
      </c>
      <c r="E84" s="205" t="s">
        <v>64</v>
      </c>
      <c r="F84" s="205" t="s">
        <v>65</v>
      </c>
      <c r="G84" s="205" t="s">
        <v>244</v>
      </c>
      <c r="H84" s="206" t="s">
        <v>13</v>
      </c>
    </row>
    <row r="85" spans="1:9" x14ac:dyDescent="0.35">
      <c r="A85" s="218"/>
      <c r="B85" s="3" t="str">
        <f>IF($A85="","",(LOOKUP($A85,'STEP 2-WQv Calculation'!$A$8:$A$37,'STEP 2-WQv Calculation'!$B$8:$B$37)))</f>
        <v/>
      </c>
      <c r="C85" s="3" t="str">
        <f>IF($A85="","",(LOOKUP($A85,'STEP 2-WQv Calculation'!$A$8:$A$37,'STEP 2-WQv Calculation'!$C$8:$C$37)))</f>
        <v/>
      </c>
      <c r="D85" s="212" t="str">
        <f>IF($A85="","",(LOOKUP($A85,'STEP 2-WQv Calculation'!$A$8:$A$37,'STEP 2-WQv Calculation'!$D$8:$D$37)))</f>
        <v/>
      </c>
      <c r="E85" s="3" t="str">
        <f>IF($A85="","",(LOOKUP($A85,'STEP 2-WQv Calculation'!$A$8:$A$37,'STEP 2-WQv Calculation'!$E$8:$E$37)))</f>
        <v/>
      </c>
      <c r="F85" s="217" t="str">
        <f>IF($A85="","",(LOOKUP($A85,'STEP 2-WQv Calculation'!$A$8:$A$37,'STEP 2-WQv Calculation'!$F$8:$F$37)))</f>
        <v/>
      </c>
      <c r="G85" s="22">
        <f>'STEP 2-WQv Calculation'!B5</f>
        <v>0</v>
      </c>
      <c r="H85" s="198" t="str">
        <f>IF($A85="","",(LOOKUP($A85,'STEP 2-WQv Calculation'!$A$8:$A$37,'STEP 2-WQv Calculation'!$G$8:$G$37)))</f>
        <v/>
      </c>
    </row>
    <row r="86" spans="1:9" ht="15" customHeight="1" x14ac:dyDescent="0.35">
      <c r="A86" s="409" t="s">
        <v>226</v>
      </c>
      <c r="B86" s="410"/>
      <c r="C86" s="410"/>
      <c r="D86" s="410"/>
      <c r="E86" s="410"/>
      <c r="F86" s="410"/>
      <c r="G86" s="410"/>
      <c r="H86" s="411"/>
    </row>
    <row r="87" spans="1:9" ht="28.9" customHeight="1" x14ac:dyDescent="0.35">
      <c r="A87" s="242" t="s">
        <v>295</v>
      </c>
      <c r="B87" s="243"/>
      <c r="C87" s="244"/>
      <c r="D87" s="44"/>
      <c r="E87" s="322" t="str">
        <f>IF(D87="","",IF(D87&lt;0.5,"Does not meet design criteria",""))</f>
        <v/>
      </c>
      <c r="F87" s="323"/>
      <c r="G87" s="323"/>
      <c r="H87" s="324"/>
    </row>
    <row r="88" spans="1:9" ht="28.9" customHeight="1" x14ac:dyDescent="0.35">
      <c r="A88" s="242" t="s">
        <v>717</v>
      </c>
      <c r="B88" s="243"/>
      <c r="C88" s="244"/>
      <c r="D88" s="211"/>
      <c r="E88" s="322" t="str">
        <f>IF(D88="Yes","Two treatment practices in series required. Refer to Section 6.3.1","")</f>
        <v/>
      </c>
      <c r="F88" s="323"/>
      <c r="G88" s="323"/>
      <c r="H88" s="324"/>
    </row>
    <row r="89" spans="1:9" s="1" customFormat="1" ht="26.5" customHeight="1" x14ac:dyDescent="0.35">
      <c r="A89" s="242" t="s">
        <v>718</v>
      </c>
      <c r="B89" s="243"/>
      <c r="C89" s="244"/>
      <c r="D89" s="211"/>
      <c r="E89" s="322" t="str">
        <f>IF(D89="","See Section 4.14 of the Design Manual",IF(D89="Yes","Does not meet design criteria",""))</f>
        <v>See Section 4.14 of the Design Manual</v>
      </c>
      <c r="F89" s="323"/>
      <c r="G89" s="323"/>
      <c r="H89" s="324"/>
      <c r="I89" s="4"/>
    </row>
    <row r="90" spans="1:9" ht="28.9" customHeight="1" x14ac:dyDescent="0.35">
      <c r="A90" s="242" t="s">
        <v>525</v>
      </c>
      <c r="B90" s="243"/>
      <c r="C90" s="244"/>
      <c r="D90" s="135" t="str">
        <f>B85</f>
        <v/>
      </c>
      <c r="E90" s="322" t="str">
        <f>IF(D90="","",IF(D90&gt;0.5,"For larger tributary areas, use multiple dry wells in series",""))</f>
        <v/>
      </c>
      <c r="F90" s="323"/>
      <c r="G90" s="323"/>
      <c r="H90" s="324"/>
    </row>
    <row r="91" spans="1:9" ht="28.9" customHeight="1" x14ac:dyDescent="0.35">
      <c r="A91" s="242" t="s">
        <v>703</v>
      </c>
      <c r="B91" s="406"/>
      <c r="C91" s="407"/>
      <c r="D91" s="43"/>
      <c r="E91" s="322"/>
      <c r="F91" s="406"/>
      <c r="G91" s="406"/>
      <c r="H91" s="407"/>
    </row>
    <row r="92" spans="1:9" ht="15" customHeight="1" x14ac:dyDescent="0.35">
      <c r="A92" s="242" t="s">
        <v>296</v>
      </c>
      <c r="B92" s="243"/>
      <c r="C92" s="244"/>
      <c r="D92" s="43"/>
      <c r="E92" s="322" t="str">
        <f>IF(OR(AND(D91="Yes",D92&lt;4),AND(D91="No",D92&lt;2)),"Does not meet design criteria","")</f>
        <v/>
      </c>
      <c r="F92" s="323"/>
      <c r="G92" s="323"/>
      <c r="H92" s="324"/>
    </row>
    <row r="93" spans="1:9" ht="15" customHeight="1" x14ac:dyDescent="0.35">
      <c r="A93" s="242" t="s">
        <v>297</v>
      </c>
      <c r="B93" s="243"/>
      <c r="C93" s="244"/>
      <c r="D93" s="43"/>
      <c r="E93" s="322" t="str">
        <f>IF(D93="","",IF(D93&lt;2,"Does not meet design criteria",""))</f>
        <v/>
      </c>
      <c r="F93" s="323"/>
      <c r="G93" s="323"/>
      <c r="H93" s="324"/>
    </row>
    <row r="94" spans="1:9" ht="12.75" customHeight="1" x14ac:dyDescent="0.35">
      <c r="A94" s="242" t="s">
        <v>507</v>
      </c>
      <c r="B94" s="243"/>
      <c r="C94" s="244"/>
      <c r="D94" s="43"/>
      <c r="E94" s="322" t="str">
        <f>IF(D94="","",IF(AND(D87&lt;=10,D94&lt;(F85*0.25)),"Does not meet design criteria",IF(AND(D87&gt;10,D94&lt;(F85*0.5)),"Does not meet design criteria","")))</f>
        <v/>
      </c>
      <c r="F94" s="323"/>
      <c r="G94" s="323"/>
      <c r="H94" s="324"/>
    </row>
    <row r="95" spans="1:9" ht="12.75" customHeight="1" x14ac:dyDescent="0.35">
      <c r="A95" s="242" t="s">
        <v>526</v>
      </c>
      <c r="B95" s="243"/>
      <c r="C95" s="244"/>
      <c r="D95" s="43"/>
      <c r="E95" s="322" t="str">
        <f>IF(D95="","",IF(D95&lt;1,"Does not meet design criteria",""))</f>
        <v/>
      </c>
      <c r="F95" s="323"/>
      <c r="G95" s="323"/>
      <c r="H95" s="324"/>
    </row>
    <row r="96" spans="1:9" ht="12.75" customHeight="1" x14ac:dyDescent="0.35">
      <c r="A96" s="242" t="s">
        <v>510</v>
      </c>
      <c r="B96" s="243"/>
      <c r="C96" s="244"/>
      <c r="D96" s="211"/>
      <c r="E96" s="322" t="str">
        <f>IF(D96="No","Does not meet design criteria","")</f>
        <v/>
      </c>
      <c r="F96" s="323"/>
      <c r="G96" s="323"/>
      <c r="H96" s="324"/>
    </row>
    <row r="97" spans="1:8" ht="13.15" customHeight="1" x14ac:dyDescent="0.35">
      <c r="A97" s="409" t="s">
        <v>232</v>
      </c>
      <c r="B97" s="410"/>
      <c r="C97" s="410"/>
      <c r="D97" s="410"/>
      <c r="E97" s="410"/>
      <c r="F97" s="410"/>
      <c r="G97" s="410"/>
      <c r="H97" s="411"/>
    </row>
    <row r="98" spans="1:8" x14ac:dyDescent="0.35">
      <c r="A98" s="378"/>
      <c r="B98" s="379"/>
      <c r="C98" s="380"/>
      <c r="D98" s="222" t="s">
        <v>256</v>
      </c>
      <c r="E98" s="208" t="s">
        <v>257</v>
      </c>
      <c r="F98" s="375" t="s">
        <v>258</v>
      </c>
      <c r="G98" s="376"/>
      <c r="H98" s="377"/>
    </row>
    <row r="99" spans="1:8" ht="15" customHeight="1" x14ac:dyDescent="0.35">
      <c r="A99" s="334" t="s">
        <v>527</v>
      </c>
      <c r="B99" s="334"/>
      <c r="C99" s="217" t="s">
        <v>528</v>
      </c>
      <c r="D99" s="46"/>
      <c r="E99" s="144" t="s">
        <v>271</v>
      </c>
      <c r="F99" s="387"/>
      <c r="G99" s="388"/>
      <c r="H99" s="389"/>
    </row>
    <row r="100" spans="1:8" ht="12.75" customHeight="1" x14ac:dyDescent="0.35">
      <c r="A100" s="289" t="s">
        <v>529</v>
      </c>
      <c r="B100" s="289"/>
      <c r="C100" s="198" t="s">
        <v>530</v>
      </c>
      <c r="D100" s="46"/>
      <c r="E100" s="193" t="s">
        <v>271</v>
      </c>
      <c r="F100" s="344"/>
      <c r="G100" s="344"/>
      <c r="H100" s="344"/>
    </row>
    <row r="101" spans="1:8" ht="12.75" customHeight="1" x14ac:dyDescent="0.35">
      <c r="A101" s="334" t="s">
        <v>531</v>
      </c>
      <c r="B101" s="334"/>
      <c r="C101" s="217" t="s">
        <v>532</v>
      </c>
      <c r="D101" s="153">
        <f>ROUNDUP(3.14159*D99^2*D100,1)</f>
        <v>0</v>
      </c>
      <c r="E101" s="144" t="s">
        <v>2</v>
      </c>
      <c r="F101" s="387"/>
      <c r="G101" s="388"/>
      <c r="H101" s="389"/>
    </row>
    <row r="102" spans="1:8" ht="12.75" customHeight="1" x14ac:dyDescent="0.35">
      <c r="A102" s="334" t="s">
        <v>533</v>
      </c>
      <c r="B102" s="334"/>
      <c r="C102" s="217" t="s">
        <v>534</v>
      </c>
      <c r="D102" s="46"/>
      <c r="E102" s="144" t="s">
        <v>271</v>
      </c>
      <c r="F102" s="387"/>
      <c r="G102" s="388"/>
      <c r="H102" s="389"/>
    </row>
    <row r="103" spans="1:8" ht="15" customHeight="1" x14ac:dyDescent="0.35">
      <c r="A103" s="334" t="s">
        <v>535</v>
      </c>
      <c r="B103" s="334"/>
      <c r="C103" s="217" t="s">
        <v>536</v>
      </c>
      <c r="D103" s="154">
        <f>ROUNDUP(D100*0.4*(3.14159*((D99+D102+D95)^2-((D99+D102)^2))),1)</f>
        <v>0</v>
      </c>
      <c r="E103" s="144" t="s">
        <v>2</v>
      </c>
      <c r="F103" s="387"/>
      <c r="G103" s="388"/>
      <c r="H103" s="389"/>
    </row>
    <row r="104" spans="1:8" ht="15" customHeight="1" x14ac:dyDescent="0.35">
      <c r="A104" s="334" t="s">
        <v>537</v>
      </c>
      <c r="B104" s="334"/>
      <c r="C104" s="217" t="s">
        <v>538</v>
      </c>
      <c r="D104" s="154">
        <f>D101+D103</f>
        <v>0</v>
      </c>
      <c r="E104" s="144" t="s">
        <v>2</v>
      </c>
      <c r="F104" s="387"/>
      <c r="G104" s="388"/>
      <c r="H104" s="389"/>
    </row>
    <row r="105" spans="1:8" ht="15" customHeight="1" x14ac:dyDescent="0.35">
      <c r="A105" s="334" t="s">
        <v>539</v>
      </c>
      <c r="B105" s="334"/>
      <c r="C105" s="217" t="s">
        <v>416</v>
      </c>
      <c r="D105" s="43"/>
      <c r="E105" s="144"/>
      <c r="F105" s="387"/>
      <c r="G105" s="388"/>
      <c r="H105" s="389"/>
    </row>
    <row r="106" spans="1:8" ht="28.9" customHeight="1" x14ac:dyDescent="0.35">
      <c r="A106" s="334" t="s">
        <v>540</v>
      </c>
      <c r="B106" s="334"/>
      <c r="C106" s="217" t="s">
        <v>303</v>
      </c>
      <c r="D106" s="198">
        <f>D104*D105</f>
        <v>0</v>
      </c>
      <c r="E106" s="144" t="s">
        <v>2</v>
      </c>
      <c r="F106" s="387" t="str">
        <f>IF(D106=0,"",IF(D106&lt;F85,"Does not meet sizing criteria",""))</f>
        <v/>
      </c>
      <c r="G106" s="388"/>
      <c r="H106" s="389"/>
    </row>
    <row r="107" spans="1:8" ht="15" customHeight="1" x14ac:dyDescent="0.35">
      <c r="A107" s="412" t="s">
        <v>372</v>
      </c>
      <c r="B107" s="412"/>
      <c r="C107" s="412"/>
      <c r="D107" s="412"/>
      <c r="E107" s="412"/>
      <c r="F107" s="412"/>
      <c r="G107" s="412"/>
      <c r="H107" s="412"/>
    </row>
    <row r="108" spans="1:8" ht="13.15" customHeight="1" x14ac:dyDescent="0.35">
      <c r="A108" s="335" t="s">
        <v>241</v>
      </c>
      <c r="B108" s="335"/>
      <c r="C108" s="9" t="str">
        <f>IF(A85="","",IF(D89="Yes",0,IF(D87&lt;0.5,0,IF(D92&lt;2,0,IF(D93&lt;2,0,IF(AND(D87&lt;=10,D94&lt;(F85*0.25)),0,IF(AND(D87&gt;10,D94&lt;(F85*0.5)),0,IF(D95&lt;1,0,IF(D96="No",0,IF(D106&lt;F85,0,F85*1))))))))))</f>
        <v/>
      </c>
      <c r="D108" s="339" t="s">
        <v>2</v>
      </c>
      <c r="E108" s="340"/>
      <c r="F108" s="340"/>
      <c r="G108" s="340"/>
      <c r="H108" s="341"/>
    </row>
    <row r="109" spans="1:8" ht="13" x14ac:dyDescent="0.35">
      <c r="A109" s="16" t="s">
        <v>56</v>
      </c>
      <c r="B109" s="225" t="str">
        <f>IF('STEP 2-WQv Calculation'!$B$4="","",'STEP 2-WQv Calculation'!$B$4)</f>
        <v/>
      </c>
    </row>
    <row r="110" spans="1:8" ht="13.15" customHeight="1" x14ac:dyDescent="0.35">
      <c r="A110" s="236" t="s">
        <v>293</v>
      </c>
      <c r="B110" s="237"/>
      <c r="C110" s="237"/>
      <c r="D110" s="237"/>
      <c r="E110" s="237"/>
      <c r="F110" s="237"/>
      <c r="G110" s="237"/>
      <c r="H110" s="238"/>
    </row>
    <row r="111" spans="1:8" ht="38.5" x14ac:dyDescent="0.35">
      <c r="A111" s="204" t="s">
        <v>60</v>
      </c>
      <c r="B111" s="205" t="s">
        <v>61</v>
      </c>
      <c r="C111" s="205" t="s">
        <v>62</v>
      </c>
      <c r="D111" s="205" t="s">
        <v>63</v>
      </c>
      <c r="E111" s="205" t="s">
        <v>64</v>
      </c>
      <c r="F111" s="205" t="s">
        <v>65</v>
      </c>
      <c r="G111" s="205" t="s">
        <v>244</v>
      </c>
      <c r="H111" s="206" t="s">
        <v>13</v>
      </c>
    </row>
    <row r="112" spans="1:8" x14ac:dyDescent="0.35">
      <c r="A112" s="218"/>
      <c r="B112" s="3" t="str">
        <f>IF($A112="","",(LOOKUP($A112,'STEP 2-WQv Calculation'!$A$8:$A$37,'STEP 2-WQv Calculation'!$B$8:$B$37)))</f>
        <v/>
      </c>
      <c r="C112" s="3" t="str">
        <f>IF($A112="","",(LOOKUP($A112,'STEP 2-WQv Calculation'!$A$8:$A$37,'STEP 2-WQv Calculation'!$C$8:$C$37)))</f>
        <v/>
      </c>
      <c r="D112" s="212" t="str">
        <f>IF($A112="","",(LOOKUP($A112,'STEP 2-WQv Calculation'!$A$8:$A$37,'STEP 2-WQv Calculation'!$D$8:$D$37)))</f>
        <v/>
      </c>
      <c r="E112" s="3" t="str">
        <f>IF($A112="","",(LOOKUP($A112,'STEP 2-WQv Calculation'!$A$8:$A$37,'STEP 2-WQv Calculation'!$E$8:$E$37)))</f>
        <v/>
      </c>
      <c r="F112" s="217" t="str">
        <f>IF($A112="","",(LOOKUP($A112,'STEP 2-WQv Calculation'!$A$8:$A$37,'STEP 2-WQv Calculation'!$F$8:$F$37)))</f>
        <v/>
      </c>
      <c r="G112" s="22">
        <f>'STEP 2-WQv Calculation'!B5</f>
        <v>0</v>
      </c>
      <c r="H112" s="198" t="str">
        <f>IF($A112="","",(LOOKUP($A112,'STEP 2-WQv Calculation'!$A$8:$A$37,'STEP 2-WQv Calculation'!$G$8:$G$37)))</f>
        <v/>
      </c>
    </row>
    <row r="113" spans="1:9" ht="15" customHeight="1" x14ac:dyDescent="0.35">
      <c r="A113" s="409" t="s">
        <v>226</v>
      </c>
      <c r="B113" s="410"/>
      <c r="C113" s="410"/>
      <c r="D113" s="410"/>
      <c r="E113" s="410"/>
      <c r="F113" s="410"/>
      <c r="G113" s="410"/>
      <c r="H113" s="411"/>
    </row>
    <row r="114" spans="1:9" ht="28.9" customHeight="1" x14ac:dyDescent="0.35">
      <c r="A114" s="242" t="s">
        <v>295</v>
      </c>
      <c r="B114" s="243"/>
      <c r="C114" s="244"/>
      <c r="D114" s="44"/>
      <c r="E114" s="322" t="str">
        <f>IF(D114="","",IF(D114&lt;0.5,"Does not meet design criteria",""))</f>
        <v/>
      </c>
      <c r="F114" s="323"/>
      <c r="G114" s="323"/>
      <c r="H114" s="324"/>
    </row>
    <row r="115" spans="1:9" ht="28.9" customHeight="1" x14ac:dyDescent="0.35">
      <c r="A115" s="242" t="s">
        <v>717</v>
      </c>
      <c r="B115" s="243"/>
      <c r="C115" s="244"/>
      <c r="D115" s="211"/>
      <c r="E115" s="322" t="str">
        <f>IF(D115="Yes","Two treatment practices in series required. Refer to Section 6.3.1","")</f>
        <v/>
      </c>
      <c r="F115" s="323"/>
      <c r="G115" s="323"/>
      <c r="H115" s="324"/>
    </row>
    <row r="116" spans="1:9" s="1" customFormat="1" ht="26.5" customHeight="1" x14ac:dyDescent="0.35">
      <c r="A116" s="242" t="s">
        <v>718</v>
      </c>
      <c r="B116" s="243"/>
      <c r="C116" s="244"/>
      <c r="D116" s="211"/>
      <c r="E116" s="322" t="str">
        <f>IF(D116="","See Section 4.14 of the Design Manual",IF(D116="Yes","Does not meet design criteria",""))</f>
        <v>See Section 4.14 of the Design Manual</v>
      </c>
      <c r="F116" s="323"/>
      <c r="G116" s="323"/>
      <c r="H116" s="324"/>
      <c r="I116" s="4"/>
    </row>
    <row r="117" spans="1:9" ht="28.9" customHeight="1" x14ac:dyDescent="0.35">
      <c r="A117" s="242" t="s">
        <v>525</v>
      </c>
      <c r="B117" s="243"/>
      <c r="C117" s="244"/>
      <c r="D117" s="135" t="str">
        <f>B112</f>
        <v/>
      </c>
      <c r="E117" s="322" t="str">
        <f>IF(D117="","",IF(D117&gt;0.5,"For larger tributary areas, use multiple dry wells in series",""))</f>
        <v/>
      </c>
      <c r="F117" s="323"/>
      <c r="G117" s="323"/>
      <c r="H117" s="324"/>
    </row>
    <row r="118" spans="1:9" ht="28.9" customHeight="1" x14ac:dyDescent="0.35">
      <c r="A118" s="242" t="s">
        <v>703</v>
      </c>
      <c r="B118" s="406"/>
      <c r="C118" s="407"/>
      <c r="D118" s="43"/>
      <c r="E118" s="322"/>
      <c r="F118" s="406"/>
      <c r="G118" s="406"/>
      <c r="H118" s="407"/>
    </row>
    <row r="119" spans="1:9" ht="15" customHeight="1" x14ac:dyDescent="0.35">
      <c r="A119" s="242" t="s">
        <v>296</v>
      </c>
      <c r="B119" s="243"/>
      <c r="C119" s="244"/>
      <c r="D119" s="43"/>
      <c r="E119" s="322" t="str">
        <f>IF(OR(AND(D118="Yes",D119&lt;4),AND(D118="No",D119&lt;2)),"Does not meet design criteria","")</f>
        <v/>
      </c>
      <c r="F119" s="323"/>
      <c r="G119" s="323"/>
      <c r="H119" s="324"/>
    </row>
    <row r="120" spans="1:9" ht="15" customHeight="1" x14ac:dyDescent="0.35">
      <c r="A120" s="242" t="s">
        <v>297</v>
      </c>
      <c r="B120" s="243"/>
      <c r="C120" s="244"/>
      <c r="D120" s="43"/>
      <c r="E120" s="322" t="str">
        <f>IF(D120="","",IF(D120&lt;2,"Does not meet design criteria",""))</f>
        <v/>
      </c>
      <c r="F120" s="323"/>
      <c r="G120" s="323"/>
      <c r="H120" s="324"/>
    </row>
    <row r="121" spans="1:9" ht="15" customHeight="1" x14ac:dyDescent="0.35">
      <c r="A121" s="242" t="s">
        <v>507</v>
      </c>
      <c r="B121" s="243"/>
      <c r="C121" s="244"/>
      <c r="D121" s="43"/>
      <c r="E121" s="322" t="str">
        <f>IF(D121="","",IF(AND(D114&lt;=10,D121&lt;(F112*0.25)),"Does not meet design criteria",IF(AND(D114&gt;10,D121&lt;(F112*0.5)),"Does not meet design criteria","")))</f>
        <v/>
      </c>
      <c r="F121" s="323"/>
      <c r="G121" s="323"/>
      <c r="H121" s="324"/>
    </row>
    <row r="122" spans="1:9" ht="15" customHeight="1" x14ac:dyDescent="0.35">
      <c r="A122" s="242" t="s">
        <v>526</v>
      </c>
      <c r="B122" s="243"/>
      <c r="C122" s="244"/>
      <c r="D122" s="43"/>
      <c r="E122" s="322" t="str">
        <f>IF(D122="","",IF(D122&lt;1,"Does not meet design criteria",""))</f>
        <v/>
      </c>
      <c r="F122" s="323"/>
      <c r="G122" s="323"/>
      <c r="H122" s="324"/>
    </row>
    <row r="123" spans="1:9" ht="12.75" customHeight="1" x14ac:dyDescent="0.35">
      <c r="A123" s="242" t="s">
        <v>510</v>
      </c>
      <c r="B123" s="243"/>
      <c r="C123" s="244"/>
      <c r="D123" s="211"/>
      <c r="E123" s="322" t="str">
        <f>IF(D123="No","Does not meet design criteria","")</f>
        <v/>
      </c>
      <c r="F123" s="323"/>
      <c r="G123" s="323"/>
      <c r="H123" s="324"/>
    </row>
    <row r="124" spans="1:9" ht="15" customHeight="1" x14ac:dyDescent="0.35">
      <c r="A124" s="409" t="s">
        <v>232</v>
      </c>
      <c r="B124" s="410"/>
      <c r="C124" s="410"/>
      <c r="D124" s="410"/>
      <c r="E124" s="410"/>
      <c r="F124" s="410"/>
      <c r="G124" s="410"/>
      <c r="H124" s="411"/>
    </row>
    <row r="125" spans="1:9" ht="15" customHeight="1" x14ac:dyDescent="0.35">
      <c r="A125" s="378"/>
      <c r="B125" s="379"/>
      <c r="C125" s="380"/>
      <c r="D125" s="222" t="s">
        <v>256</v>
      </c>
      <c r="E125" s="208" t="s">
        <v>257</v>
      </c>
      <c r="F125" s="375" t="s">
        <v>258</v>
      </c>
      <c r="G125" s="376"/>
      <c r="H125" s="377"/>
    </row>
    <row r="126" spans="1:9" ht="12.75" customHeight="1" x14ac:dyDescent="0.35">
      <c r="A126" s="334" t="s">
        <v>527</v>
      </c>
      <c r="B126" s="334"/>
      <c r="C126" s="217" t="s">
        <v>528</v>
      </c>
      <c r="D126" s="46"/>
      <c r="E126" s="144" t="s">
        <v>271</v>
      </c>
      <c r="F126" s="387"/>
      <c r="G126" s="388"/>
      <c r="H126" s="389"/>
    </row>
    <row r="127" spans="1:9" ht="12.75" customHeight="1" x14ac:dyDescent="0.35">
      <c r="A127" s="289" t="s">
        <v>529</v>
      </c>
      <c r="B127" s="289"/>
      <c r="C127" s="198" t="s">
        <v>530</v>
      </c>
      <c r="D127" s="46"/>
      <c r="E127" s="193" t="s">
        <v>271</v>
      </c>
      <c r="F127" s="344"/>
      <c r="G127" s="344"/>
      <c r="H127" s="344"/>
    </row>
    <row r="128" spans="1:9" ht="12.75" customHeight="1" x14ac:dyDescent="0.35">
      <c r="A128" s="334" t="s">
        <v>531</v>
      </c>
      <c r="B128" s="334"/>
      <c r="C128" s="217" t="s">
        <v>532</v>
      </c>
      <c r="D128" s="153">
        <f>ROUNDUP(3.14159*D126^2*D127,1)</f>
        <v>0</v>
      </c>
      <c r="E128" s="144" t="s">
        <v>2</v>
      </c>
      <c r="F128" s="387"/>
      <c r="G128" s="388"/>
      <c r="H128" s="389"/>
    </row>
    <row r="129" spans="1:8" ht="12.75" customHeight="1" x14ac:dyDescent="0.35">
      <c r="A129" s="334" t="s">
        <v>533</v>
      </c>
      <c r="B129" s="334"/>
      <c r="C129" s="217" t="s">
        <v>534</v>
      </c>
      <c r="D129" s="46"/>
      <c r="E129" s="144" t="s">
        <v>271</v>
      </c>
      <c r="F129" s="387"/>
      <c r="G129" s="388"/>
      <c r="H129" s="389"/>
    </row>
    <row r="130" spans="1:8" ht="12.75" customHeight="1" x14ac:dyDescent="0.35">
      <c r="A130" s="334" t="s">
        <v>535</v>
      </c>
      <c r="B130" s="334"/>
      <c r="C130" s="217" t="s">
        <v>536</v>
      </c>
      <c r="D130" s="154">
        <f>ROUNDUP(D127*0.4*(3.14159*((D126+D129+D122)^2-((D126+D129)^2))),1)</f>
        <v>0</v>
      </c>
      <c r="E130" s="144" t="s">
        <v>2</v>
      </c>
      <c r="F130" s="387"/>
      <c r="G130" s="388"/>
      <c r="H130" s="389"/>
    </row>
    <row r="131" spans="1:8" ht="12.75" customHeight="1" x14ac:dyDescent="0.35">
      <c r="A131" s="334" t="s">
        <v>537</v>
      </c>
      <c r="B131" s="334"/>
      <c r="C131" s="217" t="s">
        <v>538</v>
      </c>
      <c r="D131" s="154">
        <f>D128+D130</f>
        <v>0</v>
      </c>
      <c r="E131" s="144" t="s">
        <v>2</v>
      </c>
      <c r="F131" s="387"/>
      <c r="G131" s="388"/>
      <c r="H131" s="389"/>
    </row>
    <row r="132" spans="1:8" ht="12.75" customHeight="1" x14ac:dyDescent="0.35">
      <c r="A132" s="334" t="s">
        <v>539</v>
      </c>
      <c r="B132" s="334"/>
      <c r="C132" s="217" t="s">
        <v>416</v>
      </c>
      <c r="D132" s="43"/>
      <c r="E132" s="144"/>
      <c r="F132" s="387"/>
      <c r="G132" s="388"/>
      <c r="H132" s="389"/>
    </row>
    <row r="133" spans="1:8" ht="12.75" customHeight="1" x14ac:dyDescent="0.35">
      <c r="A133" s="334" t="s">
        <v>540</v>
      </c>
      <c r="B133" s="334"/>
      <c r="C133" s="217" t="s">
        <v>303</v>
      </c>
      <c r="D133" s="198">
        <f>D131*D132</f>
        <v>0</v>
      </c>
      <c r="E133" s="144" t="s">
        <v>2</v>
      </c>
      <c r="F133" s="387" t="str">
        <f>IF(D133=0,"",IF(D133&lt;F112,"Does not meet sizing criteria",""))</f>
        <v/>
      </c>
      <c r="G133" s="388"/>
      <c r="H133" s="389"/>
    </row>
    <row r="134" spans="1:8" ht="13.15" customHeight="1" x14ac:dyDescent="0.35">
      <c r="A134" s="412" t="s">
        <v>372</v>
      </c>
      <c r="B134" s="412"/>
      <c r="C134" s="412"/>
      <c r="D134" s="412"/>
      <c r="E134" s="412"/>
      <c r="F134" s="412"/>
      <c r="G134" s="412"/>
      <c r="H134" s="412"/>
    </row>
    <row r="135" spans="1:8" ht="13.15" customHeight="1" x14ac:dyDescent="0.35">
      <c r="A135" s="335" t="s">
        <v>241</v>
      </c>
      <c r="B135" s="335"/>
      <c r="C135" s="9" t="str">
        <f>IF(A112="","",IF(D116="Yes",0,IF(D114&lt;0.5,0,IF(D119&lt;2,0,IF(D120&lt;2,0,IF(AND(D114&lt;=10,D121&lt;(F112*0.25)),0,IF(AND(D114&gt;10,D121&lt;(F112*0.5)),0,IF(D122&lt;1,0,IF(D123="No",0,IF(D133&lt;F112,0,F112*1))))))))))</f>
        <v/>
      </c>
      <c r="D135" s="339" t="s">
        <v>2</v>
      </c>
      <c r="E135" s="340"/>
      <c r="F135" s="340"/>
      <c r="G135" s="340"/>
      <c r="H135" s="341"/>
    </row>
    <row r="136" spans="1:8" ht="15" customHeight="1" x14ac:dyDescent="0.35">
      <c r="A136" s="16" t="s">
        <v>56</v>
      </c>
      <c r="B136" s="225" t="str">
        <f>IF('STEP 2-WQv Calculation'!$B$4="","",'STEP 2-WQv Calculation'!$B$4)</f>
        <v/>
      </c>
    </row>
    <row r="137" spans="1:8" ht="15" customHeight="1" x14ac:dyDescent="0.35">
      <c r="A137" s="236" t="s">
        <v>293</v>
      </c>
      <c r="B137" s="237"/>
      <c r="C137" s="237"/>
      <c r="D137" s="237"/>
      <c r="E137" s="237"/>
      <c r="F137" s="237"/>
      <c r="G137" s="237"/>
      <c r="H137" s="238"/>
    </row>
    <row r="138" spans="1:8" ht="38.5" x14ac:dyDescent="0.35">
      <c r="A138" s="204" t="s">
        <v>60</v>
      </c>
      <c r="B138" s="205" t="s">
        <v>61</v>
      </c>
      <c r="C138" s="205" t="s">
        <v>62</v>
      </c>
      <c r="D138" s="205" t="s">
        <v>63</v>
      </c>
      <c r="E138" s="205" t="s">
        <v>64</v>
      </c>
      <c r="F138" s="205" t="s">
        <v>65</v>
      </c>
      <c r="G138" s="205" t="s">
        <v>244</v>
      </c>
      <c r="H138" s="206" t="s">
        <v>13</v>
      </c>
    </row>
    <row r="139" spans="1:8" ht="15" customHeight="1" x14ac:dyDescent="0.35">
      <c r="A139" s="218"/>
      <c r="B139" s="3" t="str">
        <f>IF($A139="","",(LOOKUP($A139,'STEP 2-WQv Calculation'!$A$8:$A$37,'STEP 2-WQv Calculation'!$B$8:$B$37)))</f>
        <v/>
      </c>
      <c r="C139" s="3" t="str">
        <f>IF($A139="","",(LOOKUP($A139,'STEP 2-WQv Calculation'!$A$8:$A$37,'STEP 2-WQv Calculation'!$C$8:$C$37)))</f>
        <v/>
      </c>
      <c r="D139" s="212" t="str">
        <f>IF($A139="","",(LOOKUP($A139,'STEP 2-WQv Calculation'!$A$8:$A$37,'STEP 2-WQv Calculation'!$D$8:$D$37)))</f>
        <v/>
      </c>
      <c r="E139" s="3" t="str">
        <f>IF($A139="","",(LOOKUP($A139,'STEP 2-WQv Calculation'!$A$8:$A$37,'STEP 2-WQv Calculation'!$E$8:$E$37)))</f>
        <v/>
      </c>
      <c r="F139" s="217" t="str">
        <f>IF($A139="","",(LOOKUP($A139,'STEP 2-WQv Calculation'!$A$8:$A$37,'STEP 2-WQv Calculation'!$F$8:$F$37)))</f>
        <v/>
      </c>
      <c r="G139" s="22">
        <f>'STEP 2-WQv Calculation'!B32</f>
        <v>0</v>
      </c>
      <c r="H139" s="198" t="str">
        <f>IF($A139="","",(LOOKUP($A139,'STEP 2-WQv Calculation'!$A$8:$A$37,'STEP 2-WQv Calculation'!$G$8:$G$37)))</f>
        <v/>
      </c>
    </row>
    <row r="140" spans="1:8" ht="15" customHeight="1" x14ac:dyDescent="0.35">
      <c r="A140" s="409" t="s">
        <v>226</v>
      </c>
      <c r="B140" s="410"/>
      <c r="C140" s="410"/>
      <c r="D140" s="410"/>
      <c r="E140" s="410"/>
      <c r="F140" s="410"/>
      <c r="G140" s="410"/>
      <c r="H140" s="411"/>
    </row>
    <row r="141" spans="1:8" x14ac:dyDescent="0.35">
      <c r="A141" s="242" t="s">
        <v>295</v>
      </c>
      <c r="B141" s="243"/>
      <c r="C141" s="244"/>
      <c r="D141" s="44"/>
      <c r="E141" s="322" t="str">
        <f>IF(D141="","",IF(D141&lt;0.5,"Does not meet design criteria",""))</f>
        <v/>
      </c>
      <c r="F141" s="323"/>
      <c r="G141" s="323"/>
      <c r="H141" s="324"/>
    </row>
    <row r="142" spans="1:8" x14ac:dyDescent="0.35">
      <c r="A142" s="242" t="s">
        <v>717</v>
      </c>
      <c r="B142" s="243"/>
      <c r="C142" s="244"/>
      <c r="D142" s="211"/>
      <c r="E142" s="322" t="str">
        <f>IF(D142="Yes","Two treatment practices in series required. Refer to Section 6.3.1","")</f>
        <v/>
      </c>
      <c r="F142" s="323"/>
      <c r="G142" s="323"/>
      <c r="H142" s="324"/>
    </row>
    <row r="143" spans="1:8" x14ac:dyDescent="0.35">
      <c r="A143" s="242" t="s">
        <v>718</v>
      </c>
      <c r="B143" s="243"/>
      <c r="C143" s="244"/>
      <c r="D143" s="211"/>
      <c r="E143" s="322" t="str">
        <f>IF(D143="","See Section 4.14 of the Design Manual",IF(D143="Yes","Does not meet design criteria",""))</f>
        <v>See Section 4.14 of the Design Manual</v>
      </c>
      <c r="F143" s="323"/>
      <c r="G143" s="323"/>
      <c r="H143" s="324"/>
    </row>
    <row r="144" spans="1:8" x14ac:dyDescent="0.35">
      <c r="A144" s="242" t="s">
        <v>525</v>
      </c>
      <c r="B144" s="243"/>
      <c r="C144" s="244"/>
      <c r="D144" s="135" t="str">
        <f>B139</f>
        <v/>
      </c>
      <c r="E144" s="322" t="str">
        <f>IF(D144="","",IF(D144&gt;0.5,"For larger tributary areas, use multiple dry wells in series",""))</f>
        <v/>
      </c>
      <c r="F144" s="323"/>
      <c r="G144" s="323"/>
      <c r="H144" s="324"/>
    </row>
    <row r="145" spans="1:8" ht="14.5" x14ac:dyDescent="0.35">
      <c r="A145" s="242" t="s">
        <v>703</v>
      </c>
      <c r="B145" s="406"/>
      <c r="C145" s="407"/>
      <c r="D145" s="43"/>
      <c r="E145" s="322"/>
      <c r="F145" s="406"/>
      <c r="G145" s="406"/>
      <c r="H145" s="407"/>
    </row>
    <row r="146" spans="1:8" x14ac:dyDescent="0.35">
      <c r="A146" s="242" t="s">
        <v>296</v>
      </c>
      <c r="B146" s="243"/>
      <c r="C146" s="244"/>
      <c r="D146" s="43"/>
      <c r="E146" s="322" t="str">
        <f>IF(OR(AND(D145="Yes",D146&lt;4),AND(D145="No",D146&lt;2)),"Does not meet design criteria","")</f>
        <v/>
      </c>
      <c r="F146" s="323"/>
      <c r="G146" s="323"/>
      <c r="H146" s="324"/>
    </row>
    <row r="147" spans="1:8" x14ac:dyDescent="0.35">
      <c r="A147" s="242" t="s">
        <v>297</v>
      </c>
      <c r="B147" s="243"/>
      <c r="C147" s="244"/>
      <c r="D147" s="43"/>
      <c r="E147" s="322" t="str">
        <f>IF(D147="","",IF(D147&lt;2,"Does not meet design criteria",""))</f>
        <v/>
      </c>
      <c r="F147" s="323"/>
      <c r="G147" s="323"/>
      <c r="H147" s="324"/>
    </row>
    <row r="148" spans="1:8" x14ac:dyDescent="0.35">
      <c r="A148" s="242" t="s">
        <v>507</v>
      </c>
      <c r="B148" s="243"/>
      <c r="C148" s="244"/>
      <c r="D148" s="43"/>
      <c r="E148" s="322" t="str">
        <f>IF(D148="","",IF(AND(D141&lt;=10,D148&lt;(F139*0.25)),"Does not meet design criteria",IF(AND(D141&gt;10,D148&lt;(F139*0.5)),"Does not meet design criteria","")))</f>
        <v/>
      </c>
      <c r="F148" s="323"/>
      <c r="G148" s="323"/>
      <c r="H148" s="324"/>
    </row>
    <row r="149" spans="1:8" x14ac:dyDescent="0.35">
      <c r="A149" s="242" t="s">
        <v>526</v>
      </c>
      <c r="B149" s="243"/>
      <c r="C149" s="244"/>
      <c r="D149" s="43"/>
      <c r="E149" s="322" t="str">
        <f>IF(D149="","",IF(D149&lt;1,"Does not meet design criteria",""))</f>
        <v/>
      </c>
      <c r="F149" s="323"/>
      <c r="G149" s="323"/>
      <c r="H149" s="324"/>
    </row>
    <row r="150" spans="1:8" x14ac:dyDescent="0.35">
      <c r="A150" s="242" t="s">
        <v>510</v>
      </c>
      <c r="B150" s="243"/>
      <c r="C150" s="244"/>
      <c r="D150" s="211"/>
      <c r="E150" s="322" t="str">
        <f>IF(D150="No","Does not meet design criteria","")</f>
        <v/>
      </c>
      <c r="F150" s="323"/>
      <c r="G150" s="323"/>
      <c r="H150" s="324"/>
    </row>
    <row r="151" spans="1:8" ht="13" x14ac:dyDescent="0.35">
      <c r="A151" s="409" t="s">
        <v>232</v>
      </c>
      <c r="B151" s="410"/>
      <c r="C151" s="410"/>
      <c r="D151" s="410"/>
      <c r="E151" s="410"/>
      <c r="F151" s="410"/>
      <c r="G151" s="410"/>
      <c r="H151" s="411"/>
    </row>
    <row r="152" spans="1:8" x14ac:dyDescent="0.35">
      <c r="A152" s="378"/>
      <c r="B152" s="379"/>
      <c r="C152" s="380"/>
      <c r="D152" s="222" t="s">
        <v>256</v>
      </c>
      <c r="E152" s="208" t="s">
        <v>257</v>
      </c>
      <c r="F152" s="375" t="s">
        <v>258</v>
      </c>
      <c r="G152" s="376"/>
      <c r="H152" s="377"/>
    </row>
    <row r="153" spans="1:8" x14ac:dyDescent="0.35">
      <c r="A153" s="334" t="s">
        <v>527</v>
      </c>
      <c r="B153" s="334"/>
      <c r="C153" s="217" t="s">
        <v>528</v>
      </c>
      <c r="D153" s="46"/>
      <c r="E153" s="144" t="s">
        <v>271</v>
      </c>
      <c r="F153" s="387"/>
      <c r="G153" s="388"/>
      <c r="H153" s="389"/>
    </row>
    <row r="154" spans="1:8" x14ac:dyDescent="0.35">
      <c r="A154" s="289" t="s">
        <v>529</v>
      </c>
      <c r="B154" s="289"/>
      <c r="C154" s="198" t="s">
        <v>530</v>
      </c>
      <c r="D154" s="46"/>
      <c r="E154" s="193" t="s">
        <v>271</v>
      </c>
      <c r="F154" s="344"/>
      <c r="G154" s="344"/>
      <c r="H154" s="344"/>
    </row>
    <row r="155" spans="1:8" x14ac:dyDescent="0.35">
      <c r="A155" s="334" t="s">
        <v>531</v>
      </c>
      <c r="B155" s="334"/>
      <c r="C155" s="217" t="s">
        <v>532</v>
      </c>
      <c r="D155" s="153">
        <f>ROUNDUP(3.14159*D153^2*D154,1)</f>
        <v>0</v>
      </c>
      <c r="E155" s="144" t="s">
        <v>2</v>
      </c>
      <c r="F155" s="387"/>
      <c r="G155" s="388"/>
      <c r="H155" s="389"/>
    </row>
    <row r="156" spans="1:8" x14ac:dyDescent="0.35">
      <c r="A156" s="334" t="s">
        <v>533</v>
      </c>
      <c r="B156" s="334"/>
      <c r="C156" s="217" t="s">
        <v>534</v>
      </c>
      <c r="D156" s="46"/>
      <c r="E156" s="144" t="s">
        <v>271</v>
      </c>
      <c r="F156" s="387"/>
      <c r="G156" s="388"/>
      <c r="H156" s="389"/>
    </row>
    <row r="157" spans="1:8" x14ac:dyDescent="0.35">
      <c r="A157" s="334" t="s">
        <v>535</v>
      </c>
      <c r="B157" s="334"/>
      <c r="C157" s="217" t="s">
        <v>536</v>
      </c>
      <c r="D157" s="154">
        <f>ROUNDUP(D154*0.4*(3.14159*((D153+D156+D149)^2-((D153+D156)^2))),1)</f>
        <v>0</v>
      </c>
      <c r="E157" s="144" t="s">
        <v>2</v>
      </c>
      <c r="F157" s="387"/>
      <c r="G157" s="388"/>
      <c r="H157" s="389"/>
    </row>
    <row r="158" spans="1:8" x14ac:dyDescent="0.35">
      <c r="A158" s="334" t="s">
        <v>537</v>
      </c>
      <c r="B158" s="334"/>
      <c r="C158" s="217" t="s">
        <v>538</v>
      </c>
      <c r="D158" s="154">
        <f>D155+D157</f>
        <v>0</v>
      </c>
      <c r="E158" s="144" t="s">
        <v>2</v>
      </c>
      <c r="F158" s="387"/>
      <c r="G158" s="388"/>
      <c r="H158" s="389"/>
    </row>
    <row r="159" spans="1:8" x14ac:dyDescent="0.35">
      <c r="A159" s="334" t="s">
        <v>539</v>
      </c>
      <c r="B159" s="334"/>
      <c r="C159" s="217" t="s">
        <v>416</v>
      </c>
      <c r="D159" s="43"/>
      <c r="E159" s="144"/>
      <c r="F159" s="387"/>
      <c r="G159" s="388"/>
      <c r="H159" s="389"/>
    </row>
    <row r="160" spans="1:8" x14ac:dyDescent="0.35">
      <c r="A160" s="334" t="s">
        <v>540</v>
      </c>
      <c r="B160" s="334"/>
      <c r="C160" s="217" t="s">
        <v>303</v>
      </c>
      <c r="D160" s="198">
        <f>D158*D159</f>
        <v>0</v>
      </c>
      <c r="E160" s="144" t="s">
        <v>2</v>
      </c>
      <c r="F160" s="387" t="str">
        <f>IF(D160=0,"",IF(D160&lt;F139,"Does not meet sizing criteria",""))</f>
        <v/>
      </c>
      <c r="G160" s="388"/>
      <c r="H160" s="389"/>
    </row>
    <row r="161" spans="1:8" ht="13" x14ac:dyDescent="0.35">
      <c r="A161" s="412" t="s">
        <v>372</v>
      </c>
      <c r="B161" s="412"/>
      <c r="C161" s="412"/>
      <c r="D161" s="412"/>
      <c r="E161" s="412"/>
      <c r="F161" s="412"/>
      <c r="G161" s="412"/>
      <c r="H161" s="412"/>
    </row>
    <row r="162" spans="1:8" ht="13" x14ac:dyDescent="0.35">
      <c r="A162" s="335" t="s">
        <v>241</v>
      </c>
      <c r="B162" s="335"/>
      <c r="C162" s="9" t="str">
        <f>IF(A139="","",IF(D143="Yes",0,IF(D141&lt;0.5,0,IF(D146&lt;2,0,IF(D147&lt;2,0,IF(AND(D141&lt;=10,D148&lt;(F139*0.25)),0,IF(AND(D141&gt;10,D148&lt;(F139*0.5)),0,IF(D149&lt;1,0,IF(D150="No",0,IF(D160&lt;F139,0,F139*1))))))))))</f>
        <v/>
      </c>
      <c r="D162" s="339" t="s">
        <v>2</v>
      </c>
      <c r="E162" s="340"/>
      <c r="F162" s="340"/>
      <c r="G162" s="340"/>
      <c r="H162" s="341"/>
    </row>
    <row r="163" spans="1:8" ht="13" x14ac:dyDescent="0.35">
      <c r="A163" s="16" t="s">
        <v>56</v>
      </c>
      <c r="B163" s="225" t="str">
        <f>IF('STEP 2-WQv Calculation'!$B$4="","",'STEP 2-WQv Calculation'!$B$4)</f>
        <v/>
      </c>
    </row>
    <row r="164" spans="1:8" ht="13" x14ac:dyDescent="0.35">
      <c r="A164" s="236" t="s">
        <v>293</v>
      </c>
      <c r="B164" s="237"/>
      <c r="C164" s="237"/>
      <c r="D164" s="237"/>
      <c r="E164" s="237"/>
      <c r="F164" s="237"/>
      <c r="G164" s="237"/>
      <c r="H164" s="238"/>
    </row>
    <row r="165" spans="1:8" ht="38.5" x14ac:dyDescent="0.35">
      <c r="A165" s="204" t="s">
        <v>60</v>
      </c>
      <c r="B165" s="205" t="s">
        <v>61</v>
      </c>
      <c r="C165" s="205" t="s">
        <v>62</v>
      </c>
      <c r="D165" s="205" t="s">
        <v>63</v>
      </c>
      <c r="E165" s="205" t="s">
        <v>64</v>
      </c>
      <c r="F165" s="205" t="s">
        <v>65</v>
      </c>
      <c r="G165" s="205" t="s">
        <v>244</v>
      </c>
      <c r="H165" s="206" t="s">
        <v>13</v>
      </c>
    </row>
    <row r="166" spans="1:8" x14ac:dyDescent="0.35">
      <c r="A166" s="218"/>
      <c r="B166" s="3" t="str">
        <f>IF($A166="","",(LOOKUP($A166,'STEP 2-WQv Calculation'!$A$8:$A$37,'STEP 2-WQv Calculation'!$B$8:$B$37)))</f>
        <v/>
      </c>
      <c r="C166" s="3" t="str">
        <f>IF($A166="","",(LOOKUP($A166,'STEP 2-WQv Calculation'!$A$8:$A$37,'STEP 2-WQv Calculation'!$C$8:$C$37)))</f>
        <v/>
      </c>
      <c r="D166" s="212" t="str">
        <f>IF($A166="","",(LOOKUP($A166,'STEP 2-WQv Calculation'!$A$8:$A$37,'STEP 2-WQv Calculation'!$D$8:$D$37)))</f>
        <v/>
      </c>
      <c r="E166" s="3" t="str">
        <f>IF($A166="","",(LOOKUP($A166,'STEP 2-WQv Calculation'!$A$8:$A$37,'STEP 2-WQv Calculation'!$E$8:$E$37)))</f>
        <v/>
      </c>
      <c r="F166" s="217" t="str">
        <f>IF($A166="","",(LOOKUP($A166,'STEP 2-WQv Calculation'!$A$8:$A$37,'STEP 2-WQv Calculation'!$F$8:$F$37)))</f>
        <v/>
      </c>
      <c r="G166" s="22">
        <f>'STEP 2-WQv Calculation'!B59</f>
        <v>0</v>
      </c>
      <c r="H166" s="198" t="str">
        <f>IF($A166="","",(LOOKUP($A166,'STEP 2-WQv Calculation'!$A$8:$A$37,'STEP 2-WQv Calculation'!$G$8:$G$37)))</f>
        <v/>
      </c>
    </row>
    <row r="167" spans="1:8" ht="13" x14ac:dyDescent="0.35">
      <c r="A167" s="409" t="s">
        <v>226</v>
      </c>
      <c r="B167" s="410"/>
      <c r="C167" s="410"/>
      <c r="D167" s="410"/>
      <c r="E167" s="410"/>
      <c r="F167" s="410"/>
      <c r="G167" s="410"/>
      <c r="H167" s="411"/>
    </row>
    <row r="168" spans="1:8" x14ac:dyDescent="0.35">
      <c r="A168" s="242" t="s">
        <v>295</v>
      </c>
      <c r="B168" s="243"/>
      <c r="C168" s="244"/>
      <c r="D168" s="44"/>
      <c r="E168" s="322" t="str">
        <f>IF(D168="","",IF(D168&lt;0.5,"Does not meet design criteria",""))</f>
        <v/>
      </c>
      <c r="F168" s="323"/>
      <c r="G168" s="323"/>
      <c r="H168" s="324"/>
    </row>
    <row r="169" spans="1:8" x14ac:dyDescent="0.35">
      <c r="A169" s="242" t="s">
        <v>717</v>
      </c>
      <c r="B169" s="243"/>
      <c r="C169" s="244"/>
      <c r="D169" s="211"/>
      <c r="E169" s="322" t="str">
        <f>IF(D169="Yes","Two treatment practices in series required. Refer to Section 6.3.1","")</f>
        <v/>
      </c>
      <c r="F169" s="323"/>
      <c r="G169" s="323"/>
      <c r="H169" s="324"/>
    </row>
    <row r="170" spans="1:8" x14ac:dyDescent="0.35">
      <c r="A170" s="242" t="s">
        <v>718</v>
      </c>
      <c r="B170" s="243"/>
      <c r="C170" s="244"/>
      <c r="D170" s="211"/>
      <c r="E170" s="322" t="str">
        <f>IF(D170="","See Section 4.14 of the Design Manual",IF(D170="Yes","Does not meet design criteria",""))</f>
        <v>See Section 4.14 of the Design Manual</v>
      </c>
      <c r="F170" s="323"/>
      <c r="G170" s="323"/>
      <c r="H170" s="324"/>
    </row>
    <row r="171" spans="1:8" x14ac:dyDescent="0.35">
      <c r="A171" s="242" t="s">
        <v>525</v>
      </c>
      <c r="B171" s="243"/>
      <c r="C171" s="244"/>
      <c r="D171" s="135" t="str">
        <f>B166</f>
        <v/>
      </c>
      <c r="E171" s="322" t="str">
        <f>IF(D171="","",IF(D171&gt;0.5,"For larger tributary areas, use multiple dry wells in series",""))</f>
        <v/>
      </c>
      <c r="F171" s="323"/>
      <c r="G171" s="323"/>
      <c r="H171" s="324"/>
    </row>
    <row r="172" spans="1:8" ht="14.5" x14ac:dyDescent="0.35">
      <c r="A172" s="242" t="s">
        <v>703</v>
      </c>
      <c r="B172" s="406"/>
      <c r="C172" s="407"/>
      <c r="D172" s="43"/>
      <c r="E172" s="322"/>
      <c r="F172" s="406"/>
      <c r="G172" s="406"/>
      <c r="H172" s="407"/>
    </row>
    <row r="173" spans="1:8" x14ac:dyDescent="0.35">
      <c r="A173" s="242" t="s">
        <v>296</v>
      </c>
      <c r="B173" s="243"/>
      <c r="C173" s="244"/>
      <c r="D173" s="43"/>
      <c r="E173" s="322" t="str">
        <f>IF(OR(AND(D172="Yes",D173&lt;4),AND(D172="No",D173&lt;2)),"Does not meet design criteria","")</f>
        <v/>
      </c>
      <c r="F173" s="323"/>
      <c r="G173" s="323"/>
      <c r="H173" s="324"/>
    </row>
    <row r="174" spans="1:8" x14ac:dyDescent="0.35">
      <c r="A174" s="242" t="s">
        <v>297</v>
      </c>
      <c r="B174" s="243"/>
      <c r="C174" s="244"/>
      <c r="D174" s="43"/>
      <c r="E174" s="322" t="str">
        <f>IF(D174="","",IF(D174&lt;2,"Does not meet design criteria",""))</f>
        <v/>
      </c>
      <c r="F174" s="323"/>
      <c r="G174" s="323"/>
      <c r="H174" s="324"/>
    </row>
    <row r="175" spans="1:8" x14ac:dyDescent="0.35">
      <c r="A175" s="242" t="s">
        <v>507</v>
      </c>
      <c r="B175" s="243"/>
      <c r="C175" s="244"/>
      <c r="D175" s="43"/>
      <c r="E175" s="322" t="str">
        <f>IF(D175="","",IF(AND(D168&lt;=10,D175&lt;(F166*0.25)),"Does not meet design criteria",IF(AND(D168&gt;10,D175&lt;(F166*0.5)),"Does not meet design criteria","")))</f>
        <v/>
      </c>
      <c r="F175" s="323"/>
      <c r="G175" s="323"/>
      <c r="H175" s="324"/>
    </row>
    <row r="176" spans="1:8" x14ac:dyDescent="0.35">
      <c r="A176" s="242" t="s">
        <v>526</v>
      </c>
      <c r="B176" s="243"/>
      <c r="C176" s="244"/>
      <c r="D176" s="43"/>
      <c r="E176" s="322" t="str">
        <f>IF(D176="","",IF(D176&lt;1,"Does not meet design criteria",""))</f>
        <v/>
      </c>
      <c r="F176" s="323"/>
      <c r="G176" s="323"/>
      <c r="H176" s="324"/>
    </row>
    <row r="177" spans="1:8" x14ac:dyDescent="0.35">
      <c r="A177" s="242" t="s">
        <v>510</v>
      </c>
      <c r="B177" s="243"/>
      <c r="C177" s="244"/>
      <c r="D177" s="211"/>
      <c r="E177" s="322" t="str">
        <f>IF(D177="No","Does not meet design criteria","")</f>
        <v/>
      </c>
      <c r="F177" s="323"/>
      <c r="G177" s="323"/>
      <c r="H177" s="324"/>
    </row>
    <row r="178" spans="1:8" ht="13" x14ac:dyDescent="0.35">
      <c r="A178" s="409" t="s">
        <v>232</v>
      </c>
      <c r="B178" s="410"/>
      <c r="C178" s="410"/>
      <c r="D178" s="410"/>
      <c r="E178" s="410"/>
      <c r="F178" s="410"/>
      <c r="G178" s="410"/>
      <c r="H178" s="411"/>
    </row>
    <row r="179" spans="1:8" x14ac:dyDescent="0.35">
      <c r="A179" s="378"/>
      <c r="B179" s="379"/>
      <c r="C179" s="380"/>
      <c r="D179" s="222" t="s">
        <v>256</v>
      </c>
      <c r="E179" s="208" t="s">
        <v>257</v>
      </c>
      <c r="F179" s="375" t="s">
        <v>258</v>
      </c>
      <c r="G179" s="376"/>
      <c r="H179" s="377"/>
    </row>
    <row r="180" spans="1:8" x14ac:dyDescent="0.35">
      <c r="A180" s="334" t="s">
        <v>527</v>
      </c>
      <c r="B180" s="334"/>
      <c r="C180" s="217" t="s">
        <v>528</v>
      </c>
      <c r="D180" s="46"/>
      <c r="E180" s="144" t="s">
        <v>271</v>
      </c>
      <c r="F180" s="387"/>
      <c r="G180" s="388"/>
      <c r="H180" s="389"/>
    </row>
    <row r="181" spans="1:8" x14ac:dyDescent="0.35">
      <c r="A181" s="289" t="s">
        <v>529</v>
      </c>
      <c r="B181" s="289"/>
      <c r="C181" s="198" t="s">
        <v>530</v>
      </c>
      <c r="D181" s="46"/>
      <c r="E181" s="193" t="s">
        <v>271</v>
      </c>
      <c r="F181" s="344"/>
      <c r="G181" s="344"/>
      <c r="H181" s="344"/>
    </row>
    <row r="182" spans="1:8" x14ac:dyDescent="0.35">
      <c r="A182" s="334" t="s">
        <v>531</v>
      </c>
      <c r="B182" s="334"/>
      <c r="C182" s="217" t="s">
        <v>532</v>
      </c>
      <c r="D182" s="153">
        <f>ROUNDUP(3.14159*D180^2*D181,1)</f>
        <v>0</v>
      </c>
      <c r="E182" s="144" t="s">
        <v>2</v>
      </c>
      <c r="F182" s="387"/>
      <c r="G182" s="388"/>
      <c r="H182" s="389"/>
    </row>
    <row r="183" spans="1:8" x14ac:dyDescent="0.35">
      <c r="A183" s="334" t="s">
        <v>533</v>
      </c>
      <c r="B183" s="334"/>
      <c r="C183" s="217" t="s">
        <v>534</v>
      </c>
      <c r="D183" s="46"/>
      <c r="E183" s="144" t="s">
        <v>271</v>
      </c>
      <c r="F183" s="387"/>
      <c r="G183" s="388"/>
      <c r="H183" s="389"/>
    </row>
    <row r="184" spans="1:8" x14ac:dyDescent="0.35">
      <c r="A184" s="334" t="s">
        <v>535</v>
      </c>
      <c r="B184" s="334"/>
      <c r="C184" s="217" t="s">
        <v>536</v>
      </c>
      <c r="D184" s="154">
        <f>ROUNDUP(D181*0.4*(3.14159*((D180+D183+D176)^2-((D180+D183)^2))),1)</f>
        <v>0</v>
      </c>
      <c r="E184" s="144" t="s">
        <v>2</v>
      </c>
      <c r="F184" s="387"/>
      <c r="G184" s="388"/>
      <c r="H184" s="389"/>
    </row>
    <row r="185" spans="1:8" x14ac:dyDescent="0.35">
      <c r="A185" s="334" t="s">
        <v>537</v>
      </c>
      <c r="B185" s="334"/>
      <c r="C185" s="217" t="s">
        <v>538</v>
      </c>
      <c r="D185" s="154">
        <f>D182+D184</f>
        <v>0</v>
      </c>
      <c r="E185" s="144" t="s">
        <v>2</v>
      </c>
      <c r="F185" s="387"/>
      <c r="G185" s="388"/>
      <c r="H185" s="389"/>
    </row>
    <row r="186" spans="1:8" x14ac:dyDescent="0.35">
      <c r="A186" s="334" t="s">
        <v>539</v>
      </c>
      <c r="B186" s="334"/>
      <c r="C186" s="217" t="s">
        <v>416</v>
      </c>
      <c r="D186" s="43"/>
      <c r="E186" s="144"/>
      <c r="F186" s="387"/>
      <c r="G186" s="388"/>
      <c r="H186" s="389"/>
    </row>
    <row r="187" spans="1:8" x14ac:dyDescent="0.35">
      <c r="A187" s="334" t="s">
        <v>540</v>
      </c>
      <c r="B187" s="334"/>
      <c r="C187" s="217" t="s">
        <v>303</v>
      </c>
      <c r="D187" s="198">
        <f>D185*D186</f>
        <v>0</v>
      </c>
      <c r="E187" s="144" t="s">
        <v>2</v>
      </c>
      <c r="F187" s="387" t="str">
        <f>IF(D187=0,"",IF(D187&lt;F166,"Does not meet sizing criteria",""))</f>
        <v/>
      </c>
      <c r="G187" s="388"/>
      <c r="H187" s="389"/>
    </row>
    <row r="188" spans="1:8" ht="13" x14ac:dyDescent="0.35">
      <c r="A188" s="412" t="s">
        <v>372</v>
      </c>
      <c r="B188" s="412"/>
      <c r="C188" s="412"/>
      <c r="D188" s="412"/>
      <c r="E188" s="412"/>
      <c r="F188" s="412"/>
      <c r="G188" s="412"/>
      <c r="H188" s="412"/>
    </row>
    <row r="189" spans="1:8" ht="13" x14ac:dyDescent="0.35">
      <c r="A189" s="335" t="s">
        <v>241</v>
      </c>
      <c r="B189" s="335"/>
      <c r="C189" s="9" t="str">
        <f>IF(A166="","",IF(D170="Yes",0,IF(D168&lt;0.5,0,IF(D173&lt;2,0,IF(D174&lt;2,0,IF(AND(D168&lt;=10,D175&lt;(F166*0.25)),0,IF(AND(D168&gt;10,D175&lt;(F166*0.5)),0,IF(D176&lt;1,0,IF(D177="No",0,IF(D187&lt;F166,0,F166*1))))))))))</f>
        <v/>
      </c>
      <c r="D189" s="339" t="s">
        <v>2</v>
      </c>
      <c r="E189" s="340"/>
      <c r="F189" s="340"/>
      <c r="G189" s="340"/>
      <c r="H189" s="341"/>
    </row>
    <row r="190" spans="1:8" ht="13" x14ac:dyDescent="0.35">
      <c r="A190" s="16" t="s">
        <v>56</v>
      </c>
      <c r="B190" s="225" t="str">
        <f>IF('STEP 2-WQv Calculation'!$B$4="","",'STEP 2-WQv Calculation'!$B$4)</f>
        <v/>
      </c>
    </row>
    <row r="191" spans="1:8" ht="13" x14ac:dyDescent="0.35">
      <c r="A191" s="236" t="s">
        <v>293</v>
      </c>
      <c r="B191" s="237"/>
      <c r="C191" s="237"/>
      <c r="D191" s="237"/>
      <c r="E191" s="237"/>
      <c r="F191" s="237"/>
      <c r="G191" s="237"/>
      <c r="H191" s="238"/>
    </row>
    <row r="192" spans="1:8" ht="38.5" x14ac:dyDescent="0.35">
      <c r="A192" s="204" t="s">
        <v>60</v>
      </c>
      <c r="B192" s="205" t="s">
        <v>61</v>
      </c>
      <c r="C192" s="205" t="s">
        <v>62</v>
      </c>
      <c r="D192" s="205" t="s">
        <v>63</v>
      </c>
      <c r="E192" s="205" t="s">
        <v>64</v>
      </c>
      <c r="F192" s="205" t="s">
        <v>65</v>
      </c>
      <c r="G192" s="205" t="s">
        <v>244</v>
      </c>
      <c r="H192" s="206" t="s">
        <v>13</v>
      </c>
    </row>
    <row r="193" spans="1:8" x14ac:dyDescent="0.35">
      <c r="A193" s="218"/>
      <c r="B193" s="3" t="str">
        <f>IF($A193="","",(LOOKUP($A193,'STEP 2-WQv Calculation'!$A$8:$A$37,'STEP 2-WQv Calculation'!$B$8:$B$37)))</f>
        <v/>
      </c>
      <c r="C193" s="3" t="str">
        <f>IF($A193="","",(LOOKUP($A193,'STEP 2-WQv Calculation'!$A$8:$A$37,'STEP 2-WQv Calculation'!$C$8:$C$37)))</f>
        <v/>
      </c>
      <c r="D193" s="212" t="str">
        <f>IF($A193="","",(LOOKUP($A193,'STEP 2-WQv Calculation'!$A$8:$A$37,'STEP 2-WQv Calculation'!$D$8:$D$37)))</f>
        <v/>
      </c>
      <c r="E193" s="3" t="str">
        <f>IF($A193="","",(LOOKUP($A193,'STEP 2-WQv Calculation'!$A$8:$A$37,'STEP 2-WQv Calculation'!$E$8:$E$37)))</f>
        <v/>
      </c>
      <c r="F193" s="217" t="str">
        <f>IF($A193="","",(LOOKUP($A193,'STEP 2-WQv Calculation'!$A$8:$A$37,'STEP 2-WQv Calculation'!$F$8:$F$37)))</f>
        <v/>
      </c>
      <c r="G193" s="22">
        <f>'STEP 2-WQv Calculation'!B86</f>
        <v>0</v>
      </c>
      <c r="H193" s="198" t="str">
        <f>IF($A193="","",(LOOKUP($A193,'STEP 2-WQv Calculation'!$A$8:$A$37,'STEP 2-WQv Calculation'!$G$8:$G$37)))</f>
        <v/>
      </c>
    </row>
    <row r="194" spans="1:8" ht="13" x14ac:dyDescent="0.35">
      <c r="A194" s="409" t="s">
        <v>226</v>
      </c>
      <c r="B194" s="410"/>
      <c r="C194" s="410"/>
      <c r="D194" s="410"/>
      <c r="E194" s="410"/>
      <c r="F194" s="410"/>
      <c r="G194" s="410"/>
      <c r="H194" s="411"/>
    </row>
    <row r="195" spans="1:8" x14ac:dyDescent="0.35">
      <c r="A195" s="242" t="s">
        <v>295</v>
      </c>
      <c r="B195" s="243"/>
      <c r="C195" s="244"/>
      <c r="D195" s="44"/>
      <c r="E195" s="322" t="str">
        <f>IF(D195="","",IF(D195&lt;0.5,"Does not meet design criteria",""))</f>
        <v/>
      </c>
      <c r="F195" s="323"/>
      <c r="G195" s="323"/>
      <c r="H195" s="324"/>
    </row>
    <row r="196" spans="1:8" x14ac:dyDescent="0.35">
      <c r="A196" s="242" t="s">
        <v>717</v>
      </c>
      <c r="B196" s="243"/>
      <c r="C196" s="244"/>
      <c r="D196" s="211"/>
      <c r="E196" s="322" t="str">
        <f>IF(D196="Yes","Two treatment practices in series required. Refer to Section 6.3.1","")</f>
        <v/>
      </c>
      <c r="F196" s="323"/>
      <c r="G196" s="323"/>
      <c r="H196" s="324"/>
    </row>
    <row r="197" spans="1:8" x14ac:dyDescent="0.35">
      <c r="A197" s="242" t="s">
        <v>718</v>
      </c>
      <c r="B197" s="243"/>
      <c r="C197" s="244"/>
      <c r="D197" s="211"/>
      <c r="E197" s="322" t="str">
        <f>IF(D197="","See Section 4.14 of the Design Manual",IF(D197="Yes","Does not meet design criteria",""))</f>
        <v>See Section 4.14 of the Design Manual</v>
      </c>
      <c r="F197" s="323"/>
      <c r="G197" s="323"/>
      <c r="H197" s="324"/>
    </row>
    <row r="198" spans="1:8" x14ac:dyDescent="0.35">
      <c r="A198" s="242" t="s">
        <v>525</v>
      </c>
      <c r="B198" s="243"/>
      <c r="C198" s="244"/>
      <c r="D198" s="135" t="str">
        <f>B193</f>
        <v/>
      </c>
      <c r="E198" s="322" t="str">
        <f>IF(D198="","",IF(D198&gt;0.5,"For larger tributary areas, use multiple dry wells in series",""))</f>
        <v/>
      </c>
      <c r="F198" s="323"/>
      <c r="G198" s="323"/>
      <c r="H198" s="324"/>
    </row>
    <row r="199" spans="1:8" ht="14.5" x14ac:dyDescent="0.35">
      <c r="A199" s="242" t="s">
        <v>703</v>
      </c>
      <c r="B199" s="406"/>
      <c r="C199" s="407"/>
      <c r="D199" s="43"/>
      <c r="E199" s="322"/>
      <c r="F199" s="406"/>
      <c r="G199" s="406"/>
      <c r="H199" s="407"/>
    </row>
    <row r="200" spans="1:8" x14ac:dyDescent="0.35">
      <c r="A200" s="242" t="s">
        <v>296</v>
      </c>
      <c r="B200" s="243"/>
      <c r="C200" s="244"/>
      <c r="D200" s="43"/>
      <c r="E200" s="322" t="str">
        <f>IF(OR(AND(D199="Yes",D200&lt;4),AND(D199="No",D200&lt;2)),"Does not meet design criteria","")</f>
        <v/>
      </c>
      <c r="F200" s="323"/>
      <c r="G200" s="323"/>
      <c r="H200" s="324"/>
    </row>
    <row r="201" spans="1:8" x14ac:dyDescent="0.35">
      <c r="A201" s="242" t="s">
        <v>297</v>
      </c>
      <c r="B201" s="243"/>
      <c r="C201" s="244"/>
      <c r="D201" s="43"/>
      <c r="E201" s="322" t="str">
        <f>IF(D201="","",IF(D201&lt;2,"Does not meet design criteria",""))</f>
        <v/>
      </c>
      <c r="F201" s="323"/>
      <c r="G201" s="323"/>
      <c r="H201" s="324"/>
    </row>
    <row r="202" spans="1:8" x14ac:dyDescent="0.35">
      <c r="A202" s="242" t="s">
        <v>507</v>
      </c>
      <c r="B202" s="243"/>
      <c r="C202" s="244"/>
      <c r="D202" s="43"/>
      <c r="E202" s="322" t="str">
        <f>IF(D202="","",IF(AND(D195&lt;=10,D202&lt;(F193*0.25)),"Does not meet design criteria",IF(AND(D195&gt;10,D202&lt;(F193*0.5)),"Does not meet design criteria","")))</f>
        <v/>
      </c>
      <c r="F202" s="323"/>
      <c r="G202" s="323"/>
      <c r="H202" s="324"/>
    </row>
    <row r="203" spans="1:8" x14ac:dyDescent="0.35">
      <c r="A203" s="242" t="s">
        <v>526</v>
      </c>
      <c r="B203" s="243"/>
      <c r="C203" s="244"/>
      <c r="D203" s="43"/>
      <c r="E203" s="322" t="str">
        <f>IF(D203="","",IF(D203&lt;1,"Does not meet design criteria",""))</f>
        <v/>
      </c>
      <c r="F203" s="323"/>
      <c r="G203" s="323"/>
      <c r="H203" s="324"/>
    </row>
    <row r="204" spans="1:8" x14ac:dyDescent="0.35">
      <c r="A204" s="242" t="s">
        <v>510</v>
      </c>
      <c r="B204" s="243"/>
      <c r="C204" s="244"/>
      <c r="D204" s="211"/>
      <c r="E204" s="322" t="str">
        <f>IF(D204="No","Does not meet design criteria","")</f>
        <v/>
      </c>
      <c r="F204" s="323"/>
      <c r="G204" s="323"/>
      <c r="H204" s="324"/>
    </row>
    <row r="205" spans="1:8" ht="13" x14ac:dyDescent="0.35">
      <c r="A205" s="409" t="s">
        <v>232</v>
      </c>
      <c r="B205" s="410"/>
      <c r="C205" s="410"/>
      <c r="D205" s="410"/>
      <c r="E205" s="410"/>
      <c r="F205" s="410"/>
      <c r="G205" s="410"/>
      <c r="H205" s="411"/>
    </row>
    <row r="206" spans="1:8" x14ac:dyDescent="0.35">
      <c r="A206" s="378"/>
      <c r="B206" s="379"/>
      <c r="C206" s="380"/>
      <c r="D206" s="222" t="s">
        <v>256</v>
      </c>
      <c r="E206" s="208" t="s">
        <v>257</v>
      </c>
      <c r="F206" s="375" t="s">
        <v>258</v>
      </c>
      <c r="G206" s="376"/>
      <c r="H206" s="377"/>
    </row>
    <row r="207" spans="1:8" x14ac:dyDescent="0.35">
      <c r="A207" s="334" t="s">
        <v>527</v>
      </c>
      <c r="B207" s="334"/>
      <c r="C207" s="217" t="s">
        <v>528</v>
      </c>
      <c r="D207" s="46"/>
      <c r="E207" s="144" t="s">
        <v>271</v>
      </c>
      <c r="F207" s="387"/>
      <c r="G207" s="388"/>
      <c r="H207" s="389"/>
    </row>
    <row r="208" spans="1:8" x14ac:dyDescent="0.35">
      <c r="A208" s="289" t="s">
        <v>529</v>
      </c>
      <c r="B208" s="289"/>
      <c r="C208" s="198" t="s">
        <v>530</v>
      </c>
      <c r="D208" s="46"/>
      <c r="E208" s="193" t="s">
        <v>271</v>
      </c>
      <c r="F208" s="344"/>
      <c r="G208" s="344"/>
      <c r="H208" s="344"/>
    </row>
    <row r="209" spans="1:8" x14ac:dyDescent="0.35">
      <c r="A209" s="334" t="s">
        <v>531</v>
      </c>
      <c r="B209" s="334"/>
      <c r="C209" s="217" t="s">
        <v>532</v>
      </c>
      <c r="D209" s="153">
        <f>ROUNDUP(3.14159*D207^2*D208,1)</f>
        <v>0</v>
      </c>
      <c r="E209" s="144" t="s">
        <v>2</v>
      </c>
      <c r="F209" s="387"/>
      <c r="G209" s="388"/>
      <c r="H209" s="389"/>
    </row>
    <row r="210" spans="1:8" x14ac:dyDescent="0.35">
      <c r="A210" s="334" t="s">
        <v>533</v>
      </c>
      <c r="B210" s="334"/>
      <c r="C210" s="217" t="s">
        <v>534</v>
      </c>
      <c r="D210" s="46"/>
      <c r="E210" s="144" t="s">
        <v>271</v>
      </c>
      <c r="F210" s="387"/>
      <c r="G210" s="388"/>
      <c r="H210" s="389"/>
    </row>
    <row r="211" spans="1:8" x14ac:dyDescent="0.35">
      <c r="A211" s="334" t="s">
        <v>535</v>
      </c>
      <c r="B211" s="334"/>
      <c r="C211" s="217" t="s">
        <v>536</v>
      </c>
      <c r="D211" s="154">
        <f>ROUNDUP(D208*0.4*(3.14159*((D207+D210+D203)^2-((D207+D210)^2))),1)</f>
        <v>0</v>
      </c>
      <c r="E211" s="144" t="s">
        <v>2</v>
      </c>
      <c r="F211" s="387"/>
      <c r="G211" s="388"/>
      <c r="H211" s="389"/>
    </row>
    <row r="212" spans="1:8" x14ac:dyDescent="0.35">
      <c r="A212" s="334" t="s">
        <v>537</v>
      </c>
      <c r="B212" s="334"/>
      <c r="C212" s="217" t="s">
        <v>538</v>
      </c>
      <c r="D212" s="154">
        <f>D209+D211</f>
        <v>0</v>
      </c>
      <c r="E212" s="144" t="s">
        <v>2</v>
      </c>
      <c r="F212" s="387"/>
      <c r="G212" s="388"/>
      <c r="H212" s="389"/>
    </row>
    <row r="213" spans="1:8" x14ac:dyDescent="0.35">
      <c r="A213" s="334" t="s">
        <v>539</v>
      </c>
      <c r="B213" s="334"/>
      <c r="C213" s="217" t="s">
        <v>416</v>
      </c>
      <c r="D213" s="43"/>
      <c r="E213" s="144"/>
      <c r="F213" s="387"/>
      <c r="G213" s="388"/>
      <c r="H213" s="389"/>
    </row>
    <row r="214" spans="1:8" x14ac:dyDescent="0.35">
      <c r="A214" s="334" t="s">
        <v>540</v>
      </c>
      <c r="B214" s="334"/>
      <c r="C214" s="217" t="s">
        <v>303</v>
      </c>
      <c r="D214" s="198">
        <f>D212*D213</f>
        <v>0</v>
      </c>
      <c r="E214" s="144" t="s">
        <v>2</v>
      </c>
      <c r="F214" s="387" t="str">
        <f>IF(D214=0,"",IF(D214&lt;F193,"Does not meet sizing criteria",""))</f>
        <v/>
      </c>
      <c r="G214" s="388"/>
      <c r="H214" s="389"/>
    </row>
    <row r="215" spans="1:8" ht="13" x14ac:dyDescent="0.35">
      <c r="A215" s="412" t="s">
        <v>372</v>
      </c>
      <c r="B215" s="412"/>
      <c r="C215" s="412"/>
      <c r="D215" s="412"/>
      <c r="E215" s="412"/>
      <c r="F215" s="412"/>
      <c r="G215" s="412"/>
      <c r="H215" s="412"/>
    </row>
    <row r="216" spans="1:8" ht="13" x14ac:dyDescent="0.35">
      <c r="A216" s="335" t="s">
        <v>241</v>
      </c>
      <c r="B216" s="335"/>
      <c r="C216" s="9" t="str">
        <f>IF(A193="","",IF(D197="Yes",0,IF(D195&lt;0.5,0,IF(D200&lt;2,0,IF(D201&lt;2,0,IF(AND(D195&lt;=10,D202&lt;(F193*0.25)),0,IF(AND(D195&gt;10,D202&lt;(F193*0.5)),0,IF(D203&lt;1,0,IF(D204="No",0,IF(D214&lt;F193,0,F193*1))))))))))</f>
        <v/>
      </c>
      <c r="D216" s="339" t="s">
        <v>2</v>
      </c>
      <c r="E216" s="340"/>
      <c r="F216" s="340"/>
      <c r="G216" s="340"/>
      <c r="H216" s="341"/>
    </row>
    <row r="217" spans="1:8" ht="13" x14ac:dyDescent="0.35">
      <c r="A217" s="16" t="s">
        <v>56</v>
      </c>
      <c r="B217" s="225" t="str">
        <f>IF('STEP 2-WQv Calculation'!$B$4="","",'STEP 2-WQv Calculation'!$B$4)</f>
        <v/>
      </c>
    </row>
    <row r="218" spans="1:8" ht="13" x14ac:dyDescent="0.35">
      <c r="A218" s="236" t="s">
        <v>293</v>
      </c>
      <c r="B218" s="237"/>
      <c r="C218" s="237"/>
      <c r="D218" s="237"/>
      <c r="E218" s="237"/>
      <c r="F218" s="237"/>
      <c r="G218" s="237"/>
      <c r="H218" s="238"/>
    </row>
    <row r="219" spans="1:8" ht="38.5" x14ac:dyDescent="0.35">
      <c r="A219" s="204" t="s">
        <v>60</v>
      </c>
      <c r="B219" s="205" t="s">
        <v>61</v>
      </c>
      <c r="C219" s="205" t="s">
        <v>62</v>
      </c>
      <c r="D219" s="205" t="s">
        <v>63</v>
      </c>
      <c r="E219" s="205" t="s">
        <v>64</v>
      </c>
      <c r="F219" s="205" t="s">
        <v>65</v>
      </c>
      <c r="G219" s="205" t="s">
        <v>244</v>
      </c>
      <c r="H219" s="206" t="s">
        <v>13</v>
      </c>
    </row>
    <row r="220" spans="1:8" x14ac:dyDescent="0.35">
      <c r="A220" s="218"/>
      <c r="B220" s="3" t="str">
        <f>IF($A220="","",(LOOKUP($A220,'STEP 2-WQv Calculation'!$A$8:$A$37,'STEP 2-WQv Calculation'!$B$8:$B$37)))</f>
        <v/>
      </c>
      <c r="C220" s="3" t="str">
        <f>IF($A220="","",(LOOKUP($A220,'STEP 2-WQv Calculation'!$A$8:$A$37,'STEP 2-WQv Calculation'!$C$8:$C$37)))</f>
        <v/>
      </c>
      <c r="D220" s="212" t="str">
        <f>IF($A220="","",(LOOKUP($A220,'STEP 2-WQv Calculation'!$A$8:$A$37,'STEP 2-WQv Calculation'!$D$8:$D$37)))</f>
        <v/>
      </c>
      <c r="E220" s="3" t="str">
        <f>IF($A220="","",(LOOKUP($A220,'STEP 2-WQv Calculation'!$A$8:$A$37,'STEP 2-WQv Calculation'!$E$8:$E$37)))</f>
        <v/>
      </c>
      <c r="F220" s="217" t="str">
        <f>IF($A220="","",(LOOKUP($A220,'STEP 2-WQv Calculation'!$A$8:$A$37,'STEP 2-WQv Calculation'!$F$8:$F$37)))</f>
        <v/>
      </c>
      <c r="G220" s="22">
        <f>'STEP 2-WQv Calculation'!B113</f>
        <v>0</v>
      </c>
      <c r="H220" s="198" t="str">
        <f>IF($A220="","",(LOOKUP($A220,'STEP 2-WQv Calculation'!$A$8:$A$37,'STEP 2-WQv Calculation'!$G$8:$G$37)))</f>
        <v/>
      </c>
    </row>
    <row r="221" spans="1:8" ht="13" x14ac:dyDescent="0.35">
      <c r="A221" s="409" t="s">
        <v>226</v>
      </c>
      <c r="B221" s="410"/>
      <c r="C221" s="410"/>
      <c r="D221" s="410"/>
      <c r="E221" s="410"/>
      <c r="F221" s="410"/>
      <c r="G221" s="410"/>
      <c r="H221" s="411"/>
    </row>
    <row r="222" spans="1:8" x14ac:dyDescent="0.35">
      <c r="A222" s="242" t="s">
        <v>295</v>
      </c>
      <c r="B222" s="243"/>
      <c r="C222" s="244"/>
      <c r="D222" s="44"/>
      <c r="E222" s="322" t="str">
        <f>IF(D222="","",IF(D222&lt;0.5,"Does not meet design criteria",""))</f>
        <v/>
      </c>
      <c r="F222" s="323"/>
      <c r="G222" s="323"/>
      <c r="H222" s="324"/>
    </row>
    <row r="223" spans="1:8" x14ac:dyDescent="0.35">
      <c r="A223" s="242" t="s">
        <v>717</v>
      </c>
      <c r="B223" s="243"/>
      <c r="C223" s="244"/>
      <c r="D223" s="211"/>
      <c r="E223" s="322" t="str">
        <f>IF(D223="Yes","Two treatment practices in series required. Refer to Section 6.3.1","")</f>
        <v/>
      </c>
      <c r="F223" s="323"/>
      <c r="G223" s="323"/>
      <c r="H223" s="324"/>
    </row>
    <row r="224" spans="1:8" x14ac:dyDescent="0.35">
      <c r="A224" s="242" t="s">
        <v>718</v>
      </c>
      <c r="B224" s="243"/>
      <c r="C224" s="244"/>
      <c r="D224" s="211"/>
      <c r="E224" s="322" t="str">
        <f>IF(D224="","See Section 4.14 of the Design Manual",IF(D224="Yes","Does not meet design criteria",""))</f>
        <v>See Section 4.14 of the Design Manual</v>
      </c>
      <c r="F224" s="323"/>
      <c r="G224" s="323"/>
      <c r="H224" s="324"/>
    </row>
    <row r="225" spans="1:8" x14ac:dyDescent="0.35">
      <c r="A225" s="242" t="s">
        <v>525</v>
      </c>
      <c r="B225" s="243"/>
      <c r="C225" s="244"/>
      <c r="D225" s="135" t="str">
        <f>B220</f>
        <v/>
      </c>
      <c r="E225" s="322" t="str">
        <f>IF(D225="","",IF(D225&gt;0.5,"For larger tributary areas, use multiple dry wells in series",""))</f>
        <v/>
      </c>
      <c r="F225" s="323"/>
      <c r="G225" s="323"/>
      <c r="H225" s="324"/>
    </row>
    <row r="226" spans="1:8" ht="14.5" x14ac:dyDescent="0.35">
      <c r="A226" s="242" t="s">
        <v>703</v>
      </c>
      <c r="B226" s="406"/>
      <c r="C226" s="407"/>
      <c r="D226" s="43"/>
      <c r="E226" s="322"/>
      <c r="F226" s="406"/>
      <c r="G226" s="406"/>
      <c r="H226" s="407"/>
    </row>
    <row r="227" spans="1:8" x14ac:dyDescent="0.35">
      <c r="A227" s="242" t="s">
        <v>296</v>
      </c>
      <c r="B227" s="243"/>
      <c r="C227" s="244"/>
      <c r="D227" s="43"/>
      <c r="E227" s="322" t="str">
        <f>IF(OR(AND(D226="Yes",D227&lt;4),AND(D226="No",D227&lt;2)),"Does not meet design criteria","")</f>
        <v/>
      </c>
      <c r="F227" s="323"/>
      <c r="G227" s="323"/>
      <c r="H227" s="324"/>
    </row>
    <row r="228" spans="1:8" x14ac:dyDescent="0.35">
      <c r="A228" s="242" t="s">
        <v>297</v>
      </c>
      <c r="B228" s="243"/>
      <c r="C228" s="244"/>
      <c r="D228" s="43"/>
      <c r="E228" s="322" t="str">
        <f>IF(D228="","",IF(D228&lt;2,"Does not meet design criteria",""))</f>
        <v/>
      </c>
      <c r="F228" s="323"/>
      <c r="G228" s="323"/>
      <c r="H228" s="324"/>
    </row>
    <row r="229" spans="1:8" x14ac:dyDescent="0.35">
      <c r="A229" s="242" t="s">
        <v>507</v>
      </c>
      <c r="B229" s="243"/>
      <c r="C229" s="244"/>
      <c r="D229" s="43"/>
      <c r="E229" s="322" t="str">
        <f>IF(D229="","",IF(AND(D222&lt;=10,D229&lt;(F220*0.25)),"Does not meet design criteria",IF(AND(D222&gt;10,D229&lt;(F220*0.5)),"Does not meet design criteria","")))</f>
        <v/>
      </c>
      <c r="F229" s="323"/>
      <c r="G229" s="323"/>
      <c r="H229" s="324"/>
    </row>
    <row r="230" spans="1:8" x14ac:dyDescent="0.35">
      <c r="A230" s="242" t="s">
        <v>526</v>
      </c>
      <c r="B230" s="243"/>
      <c r="C230" s="244"/>
      <c r="D230" s="43"/>
      <c r="E230" s="322" t="str">
        <f>IF(D230="","",IF(D230&lt;1,"Does not meet design criteria",""))</f>
        <v/>
      </c>
      <c r="F230" s="323"/>
      <c r="G230" s="323"/>
      <c r="H230" s="324"/>
    </row>
    <row r="231" spans="1:8" x14ac:dyDescent="0.35">
      <c r="A231" s="242" t="s">
        <v>510</v>
      </c>
      <c r="B231" s="243"/>
      <c r="C231" s="244"/>
      <c r="D231" s="211"/>
      <c r="E231" s="322" t="str">
        <f>IF(D231="No","Does not meet design criteria","")</f>
        <v/>
      </c>
      <c r="F231" s="323"/>
      <c r="G231" s="323"/>
      <c r="H231" s="324"/>
    </row>
    <row r="232" spans="1:8" ht="13" x14ac:dyDescent="0.35">
      <c r="A232" s="409" t="s">
        <v>232</v>
      </c>
      <c r="B232" s="410"/>
      <c r="C232" s="410"/>
      <c r="D232" s="410"/>
      <c r="E232" s="410"/>
      <c r="F232" s="410"/>
      <c r="G232" s="410"/>
      <c r="H232" s="411"/>
    </row>
    <row r="233" spans="1:8" x14ac:dyDescent="0.35">
      <c r="A233" s="378"/>
      <c r="B233" s="379"/>
      <c r="C233" s="380"/>
      <c r="D233" s="222" t="s">
        <v>256</v>
      </c>
      <c r="E233" s="208" t="s">
        <v>257</v>
      </c>
      <c r="F233" s="375" t="s">
        <v>258</v>
      </c>
      <c r="G233" s="376"/>
      <c r="H233" s="377"/>
    </row>
    <row r="234" spans="1:8" x14ac:dyDescent="0.35">
      <c r="A234" s="334" t="s">
        <v>527</v>
      </c>
      <c r="B234" s="334"/>
      <c r="C234" s="217" t="s">
        <v>528</v>
      </c>
      <c r="D234" s="46"/>
      <c r="E234" s="144" t="s">
        <v>271</v>
      </c>
      <c r="F234" s="387"/>
      <c r="G234" s="388"/>
      <c r="H234" s="389"/>
    </row>
    <row r="235" spans="1:8" x14ac:dyDescent="0.35">
      <c r="A235" s="289" t="s">
        <v>529</v>
      </c>
      <c r="B235" s="289"/>
      <c r="C235" s="198" t="s">
        <v>530</v>
      </c>
      <c r="D235" s="46"/>
      <c r="E235" s="193" t="s">
        <v>271</v>
      </c>
      <c r="F235" s="344"/>
      <c r="G235" s="344"/>
      <c r="H235" s="344"/>
    </row>
    <row r="236" spans="1:8" x14ac:dyDescent="0.35">
      <c r="A236" s="334" t="s">
        <v>531</v>
      </c>
      <c r="B236" s="334"/>
      <c r="C236" s="217" t="s">
        <v>532</v>
      </c>
      <c r="D236" s="153">
        <f>ROUNDUP(3.14159*D234^2*D235,1)</f>
        <v>0</v>
      </c>
      <c r="E236" s="144" t="s">
        <v>2</v>
      </c>
      <c r="F236" s="387"/>
      <c r="G236" s="388"/>
      <c r="H236" s="389"/>
    </row>
    <row r="237" spans="1:8" x14ac:dyDescent="0.35">
      <c r="A237" s="334" t="s">
        <v>533</v>
      </c>
      <c r="B237" s="334"/>
      <c r="C237" s="217" t="s">
        <v>534</v>
      </c>
      <c r="D237" s="46"/>
      <c r="E237" s="144" t="s">
        <v>271</v>
      </c>
      <c r="F237" s="387"/>
      <c r="G237" s="388"/>
      <c r="H237" s="389"/>
    </row>
    <row r="238" spans="1:8" x14ac:dyDescent="0.35">
      <c r="A238" s="334" t="s">
        <v>535</v>
      </c>
      <c r="B238" s="334"/>
      <c r="C238" s="217" t="s">
        <v>536</v>
      </c>
      <c r="D238" s="154">
        <f>ROUNDUP(D235*0.4*(3.14159*((D234+D237+D230)^2-((D234+D237)^2))),1)</f>
        <v>0</v>
      </c>
      <c r="E238" s="144" t="s">
        <v>2</v>
      </c>
      <c r="F238" s="387"/>
      <c r="G238" s="388"/>
      <c r="H238" s="389"/>
    </row>
    <row r="239" spans="1:8" x14ac:dyDescent="0.35">
      <c r="A239" s="334" t="s">
        <v>537</v>
      </c>
      <c r="B239" s="334"/>
      <c r="C239" s="217" t="s">
        <v>538</v>
      </c>
      <c r="D239" s="154">
        <f>D236+D238</f>
        <v>0</v>
      </c>
      <c r="E239" s="144" t="s">
        <v>2</v>
      </c>
      <c r="F239" s="387"/>
      <c r="G239" s="388"/>
      <c r="H239" s="389"/>
    </row>
    <row r="240" spans="1:8" x14ac:dyDescent="0.35">
      <c r="A240" s="334" t="s">
        <v>539</v>
      </c>
      <c r="B240" s="334"/>
      <c r="C240" s="217" t="s">
        <v>416</v>
      </c>
      <c r="D240" s="43"/>
      <c r="E240" s="144"/>
      <c r="F240" s="387"/>
      <c r="G240" s="388"/>
      <c r="H240" s="389"/>
    </row>
    <row r="241" spans="1:8" x14ac:dyDescent="0.35">
      <c r="A241" s="334" t="s">
        <v>540</v>
      </c>
      <c r="B241" s="334"/>
      <c r="C241" s="217" t="s">
        <v>303</v>
      </c>
      <c r="D241" s="198">
        <f>D239*D240</f>
        <v>0</v>
      </c>
      <c r="E241" s="144" t="s">
        <v>2</v>
      </c>
      <c r="F241" s="387" t="str">
        <f>IF(D241=0,"",IF(D241&lt;F220,"Does not meet sizing criteria",""))</f>
        <v/>
      </c>
      <c r="G241" s="388"/>
      <c r="H241" s="389"/>
    </row>
    <row r="242" spans="1:8" ht="13" x14ac:dyDescent="0.35">
      <c r="A242" s="412" t="s">
        <v>372</v>
      </c>
      <c r="B242" s="412"/>
      <c r="C242" s="412"/>
      <c r="D242" s="412"/>
      <c r="E242" s="412"/>
      <c r="F242" s="412"/>
      <c r="G242" s="412"/>
      <c r="H242" s="412"/>
    </row>
    <row r="243" spans="1:8" ht="13" x14ac:dyDescent="0.35">
      <c r="A243" s="335" t="s">
        <v>241</v>
      </c>
      <c r="B243" s="335"/>
      <c r="C243" s="9" t="str">
        <f>IF(A220="","",IF(D224="Yes",0,IF(D222&lt;0.5,0,IF(D227&lt;2,0,IF(D228&lt;2,0,IF(AND(D222&lt;=10,D229&lt;(F220*0.25)),0,IF(AND(D222&gt;10,D229&lt;(F220*0.5)),0,IF(D230&lt;1,0,IF(D231="No",0,IF(D241&lt;F220,0,F220*1))))))))))</f>
        <v/>
      </c>
      <c r="D243" s="339" t="s">
        <v>2</v>
      </c>
      <c r="E243" s="340"/>
      <c r="F243" s="340"/>
      <c r="G243" s="340"/>
      <c r="H243" s="341"/>
    </row>
    <row r="244" spans="1:8" ht="13" x14ac:dyDescent="0.35">
      <c r="A244" s="16" t="s">
        <v>56</v>
      </c>
      <c r="B244" s="225" t="str">
        <f>IF('STEP 2-WQv Calculation'!$B$4="","",'STEP 2-WQv Calculation'!$B$4)</f>
        <v/>
      </c>
    </row>
    <row r="245" spans="1:8" ht="13" x14ac:dyDescent="0.35">
      <c r="A245" s="236" t="s">
        <v>293</v>
      </c>
      <c r="B245" s="237"/>
      <c r="C245" s="237"/>
      <c r="D245" s="237"/>
      <c r="E245" s="237"/>
      <c r="F245" s="237"/>
      <c r="G245" s="237"/>
      <c r="H245" s="238"/>
    </row>
    <row r="246" spans="1:8" ht="38.5" x14ac:dyDescent="0.35">
      <c r="A246" s="204" t="s">
        <v>60</v>
      </c>
      <c r="B246" s="205" t="s">
        <v>61</v>
      </c>
      <c r="C246" s="205" t="s">
        <v>62</v>
      </c>
      <c r="D246" s="205" t="s">
        <v>63</v>
      </c>
      <c r="E246" s="205" t="s">
        <v>64</v>
      </c>
      <c r="F246" s="205" t="s">
        <v>65</v>
      </c>
      <c r="G246" s="205" t="s">
        <v>244</v>
      </c>
      <c r="H246" s="206" t="s">
        <v>13</v>
      </c>
    </row>
    <row r="247" spans="1:8" x14ac:dyDescent="0.35">
      <c r="A247" s="218"/>
      <c r="B247" s="3" t="str">
        <f>IF($A247="","",(LOOKUP($A247,'STEP 2-WQv Calculation'!$A$8:$A$37,'STEP 2-WQv Calculation'!$B$8:$B$37)))</f>
        <v/>
      </c>
      <c r="C247" s="3" t="str">
        <f>IF($A247="","",(LOOKUP($A247,'STEP 2-WQv Calculation'!$A$8:$A$37,'STEP 2-WQv Calculation'!$C$8:$C$37)))</f>
        <v/>
      </c>
      <c r="D247" s="212" t="str">
        <f>IF($A247="","",(LOOKUP($A247,'STEP 2-WQv Calculation'!$A$8:$A$37,'STEP 2-WQv Calculation'!$D$8:$D$37)))</f>
        <v/>
      </c>
      <c r="E247" s="3" t="str">
        <f>IF($A247="","",(LOOKUP($A247,'STEP 2-WQv Calculation'!$A$8:$A$37,'STEP 2-WQv Calculation'!$E$8:$E$37)))</f>
        <v/>
      </c>
      <c r="F247" s="217" t="str">
        <f>IF($A247="","",(LOOKUP($A247,'STEP 2-WQv Calculation'!$A$8:$A$37,'STEP 2-WQv Calculation'!$F$8:$F$37)))</f>
        <v/>
      </c>
      <c r="G247" s="22">
        <f>'STEP 2-WQv Calculation'!B140</f>
        <v>0</v>
      </c>
      <c r="H247" s="198" t="str">
        <f>IF($A247="","",(LOOKUP($A247,'STEP 2-WQv Calculation'!$A$8:$A$37,'STEP 2-WQv Calculation'!$G$8:$G$37)))</f>
        <v/>
      </c>
    </row>
    <row r="248" spans="1:8" ht="13" x14ac:dyDescent="0.35">
      <c r="A248" s="409" t="s">
        <v>226</v>
      </c>
      <c r="B248" s="410"/>
      <c r="C248" s="410"/>
      <c r="D248" s="410"/>
      <c r="E248" s="410"/>
      <c r="F248" s="410"/>
      <c r="G248" s="410"/>
      <c r="H248" s="411"/>
    </row>
    <row r="249" spans="1:8" x14ac:dyDescent="0.35">
      <c r="A249" s="242" t="s">
        <v>295</v>
      </c>
      <c r="B249" s="243"/>
      <c r="C249" s="244"/>
      <c r="D249" s="44"/>
      <c r="E249" s="322" t="str">
        <f>IF(D249="","",IF(D249&lt;0.5,"Does not meet design criteria",""))</f>
        <v/>
      </c>
      <c r="F249" s="323"/>
      <c r="G249" s="323"/>
      <c r="H249" s="324"/>
    </row>
    <row r="250" spans="1:8" x14ac:dyDescent="0.35">
      <c r="A250" s="242" t="s">
        <v>717</v>
      </c>
      <c r="B250" s="243"/>
      <c r="C250" s="244"/>
      <c r="D250" s="211"/>
      <c r="E250" s="322" t="str">
        <f>IF(D250="Yes","Two treatment practices in series required. Refer to Section 6.3.1","")</f>
        <v/>
      </c>
      <c r="F250" s="323"/>
      <c r="G250" s="323"/>
      <c r="H250" s="324"/>
    </row>
    <row r="251" spans="1:8" x14ac:dyDescent="0.35">
      <c r="A251" s="242" t="s">
        <v>718</v>
      </c>
      <c r="B251" s="243"/>
      <c r="C251" s="244"/>
      <c r="D251" s="211"/>
      <c r="E251" s="322" t="str">
        <f>IF(D251="","See Section 4.14 of the Design Manual",IF(D251="Yes","Does not meet design criteria",""))</f>
        <v>See Section 4.14 of the Design Manual</v>
      </c>
      <c r="F251" s="323"/>
      <c r="G251" s="323"/>
      <c r="H251" s="324"/>
    </row>
    <row r="252" spans="1:8" x14ac:dyDescent="0.35">
      <c r="A252" s="242" t="s">
        <v>525</v>
      </c>
      <c r="B252" s="243"/>
      <c r="C252" s="244"/>
      <c r="D252" s="135" t="str">
        <f>B247</f>
        <v/>
      </c>
      <c r="E252" s="322" t="str">
        <f>IF(D252="","",IF(D252&gt;0.5,"For larger tributary areas, use multiple dry wells in series",""))</f>
        <v/>
      </c>
      <c r="F252" s="323"/>
      <c r="G252" s="323"/>
      <c r="H252" s="324"/>
    </row>
    <row r="253" spans="1:8" ht="14.5" x14ac:dyDescent="0.35">
      <c r="A253" s="242" t="s">
        <v>703</v>
      </c>
      <c r="B253" s="406"/>
      <c r="C253" s="407"/>
      <c r="D253" s="43"/>
      <c r="E253" s="322"/>
      <c r="F253" s="406"/>
      <c r="G253" s="406"/>
      <c r="H253" s="407"/>
    </row>
    <row r="254" spans="1:8" x14ac:dyDescent="0.35">
      <c r="A254" s="242" t="s">
        <v>296</v>
      </c>
      <c r="B254" s="243"/>
      <c r="C254" s="244"/>
      <c r="D254" s="43"/>
      <c r="E254" s="322" t="str">
        <f>IF(OR(AND(D253="Yes",D254&lt;4),AND(D253="No",D254&lt;2)),"Does not meet design criteria","")</f>
        <v/>
      </c>
      <c r="F254" s="323"/>
      <c r="G254" s="323"/>
      <c r="H254" s="324"/>
    </row>
    <row r="255" spans="1:8" x14ac:dyDescent="0.35">
      <c r="A255" s="242" t="s">
        <v>297</v>
      </c>
      <c r="B255" s="243"/>
      <c r="C255" s="244"/>
      <c r="D255" s="43"/>
      <c r="E255" s="322" t="str">
        <f>IF(D255="","",IF(D255&lt;2,"Does not meet design criteria",""))</f>
        <v/>
      </c>
      <c r="F255" s="323"/>
      <c r="G255" s="323"/>
      <c r="H255" s="324"/>
    </row>
    <row r="256" spans="1:8" x14ac:dyDescent="0.35">
      <c r="A256" s="242" t="s">
        <v>507</v>
      </c>
      <c r="B256" s="243"/>
      <c r="C256" s="244"/>
      <c r="D256" s="43"/>
      <c r="E256" s="322" t="str">
        <f>IF(D256="","",IF(AND(D249&lt;=10,D256&lt;(F247*0.25)),"Does not meet design criteria",IF(AND(D249&gt;10,D256&lt;(F247*0.5)),"Does not meet design criteria","")))</f>
        <v/>
      </c>
      <c r="F256" s="323"/>
      <c r="G256" s="323"/>
      <c r="H256" s="324"/>
    </row>
    <row r="257" spans="1:8" x14ac:dyDescent="0.35">
      <c r="A257" s="242" t="s">
        <v>526</v>
      </c>
      <c r="B257" s="243"/>
      <c r="C257" s="244"/>
      <c r="D257" s="43"/>
      <c r="E257" s="322" t="str">
        <f>IF(D257="","",IF(D257&lt;1,"Does not meet design criteria",""))</f>
        <v/>
      </c>
      <c r="F257" s="323"/>
      <c r="G257" s="323"/>
      <c r="H257" s="324"/>
    </row>
    <row r="258" spans="1:8" x14ac:dyDescent="0.35">
      <c r="A258" s="242" t="s">
        <v>510</v>
      </c>
      <c r="B258" s="243"/>
      <c r="C258" s="244"/>
      <c r="D258" s="211"/>
      <c r="E258" s="322" t="str">
        <f>IF(D258="No","Does not meet design criteria","")</f>
        <v/>
      </c>
      <c r="F258" s="323"/>
      <c r="G258" s="323"/>
      <c r="H258" s="324"/>
    </row>
    <row r="259" spans="1:8" ht="13" x14ac:dyDescent="0.35">
      <c r="A259" s="409" t="s">
        <v>232</v>
      </c>
      <c r="B259" s="410"/>
      <c r="C259" s="410"/>
      <c r="D259" s="410"/>
      <c r="E259" s="410"/>
      <c r="F259" s="410"/>
      <c r="G259" s="410"/>
      <c r="H259" s="411"/>
    </row>
    <row r="260" spans="1:8" x14ac:dyDescent="0.35">
      <c r="A260" s="378"/>
      <c r="B260" s="379"/>
      <c r="C260" s="380"/>
      <c r="D260" s="222" t="s">
        <v>256</v>
      </c>
      <c r="E260" s="208" t="s">
        <v>257</v>
      </c>
      <c r="F260" s="375" t="s">
        <v>258</v>
      </c>
      <c r="G260" s="376"/>
      <c r="H260" s="377"/>
    </row>
    <row r="261" spans="1:8" x14ac:dyDescent="0.35">
      <c r="A261" s="334" t="s">
        <v>527</v>
      </c>
      <c r="B261" s="334"/>
      <c r="C261" s="217" t="s">
        <v>528</v>
      </c>
      <c r="D261" s="46"/>
      <c r="E261" s="144" t="s">
        <v>271</v>
      </c>
      <c r="F261" s="387"/>
      <c r="G261" s="388"/>
      <c r="H261" s="389"/>
    </row>
    <row r="262" spans="1:8" x14ac:dyDescent="0.35">
      <c r="A262" s="289" t="s">
        <v>529</v>
      </c>
      <c r="B262" s="289"/>
      <c r="C262" s="198" t="s">
        <v>530</v>
      </c>
      <c r="D262" s="46"/>
      <c r="E262" s="193" t="s">
        <v>271</v>
      </c>
      <c r="F262" s="344"/>
      <c r="G262" s="344"/>
      <c r="H262" s="344"/>
    </row>
    <row r="263" spans="1:8" x14ac:dyDescent="0.35">
      <c r="A263" s="334" t="s">
        <v>531</v>
      </c>
      <c r="B263" s="334"/>
      <c r="C263" s="217" t="s">
        <v>532</v>
      </c>
      <c r="D263" s="153">
        <f>ROUNDUP(3.14159*D261^2*D262,1)</f>
        <v>0</v>
      </c>
      <c r="E263" s="144" t="s">
        <v>2</v>
      </c>
      <c r="F263" s="387"/>
      <c r="G263" s="388"/>
      <c r="H263" s="389"/>
    </row>
    <row r="264" spans="1:8" x14ac:dyDescent="0.35">
      <c r="A264" s="334" t="s">
        <v>533</v>
      </c>
      <c r="B264" s="334"/>
      <c r="C264" s="217" t="s">
        <v>534</v>
      </c>
      <c r="D264" s="46"/>
      <c r="E264" s="144" t="s">
        <v>271</v>
      </c>
      <c r="F264" s="387"/>
      <c r="G264" s="388"/>
      <c r="H264" s="389"/>
    </row>
    <row r="265" spans="1:8" x14ac:dyDescent="0.35">
      <c r="A265" s="334" t="s">
        <v>535</v>
      </c>
      <c r="B265" s="334"/>
      <c r="C265" s="217" t="s">
        <v>536</v>
      </c>
      <c r="D265" s="154">
        <f>ROUNDUP(D262*0.4*(3.14159*((D261+D264+D257)^2-((D261+D264)^2))),1)</f>
        <v>0</v>
      </c>
      <c r="E265" s="144" t="s">
        <v>2</v>
      </c>
      <c r="F265" s="387"/>
      <c r="G265" s="388"/>
      <c r="H265" s="389"/>
    </row>
    <row r="266" spans="1:8" x14ac:dyDescent="0.35">
      <c r="A266" s="334" t="s">
        <v>537</v>
      </c>
      <c r="B266" s="334"/>
      <c r="C266" s="217" t="s">
        <v>538</v>
      </c>
      <c r="D266" s="154">
        <f>D263+D265</f>
        <v>0</v>
      </c>
      <c r="E266" s="144" t="s">
        <v>2</v>
      </c>
      <c r="F266" s="387"/>
      <c r="G266" s="388"/>
      <c r="H266" s="389"/>
    </row>
    <row r="267" spans="1:8" x14ac:dyDescent="0.35">
      <c r="A267" s="334" t="s">
        <v>539</v>
      </c>
      <c r="B267" s="334"/>
      <c r="C267" s="217" t="s">
        <v>416</v>
      </c>
      <c r="D267" s="43"/>
      <c r="E267" s="144"/>
      <c r="F267" s="387"/>
      <c r="G267" s="388"/>
      <c r="H267" s="389"/>
    </row>
    <row r="268" spans="1:8" x14ac:dyDescent="0.35">
      <c r="A268" s="334" t="s">
        <v>540</v>
      </c>
      <c r="B268" s="334"/>
      <c r="C268" s="217" t="s">
        <v>303</v>
      </c>
      <c r="D268" s="198">
        <f>D266*D267</f>
        <v>0</v>
      </c>
      <c r="E268" s="144" t="s">
        <v>2</v>
      </c>
      <c r="F268" s="387" t="str">
        <f>IF(D268=0,"",IF(D268&lt;F247,"Does not meet sizing criteria",""))</f>
        <v/>
      </c>
      <c r="G268" s="388"/>
      <c r="H268" s="389"/>
    </row>
    <row r="269" spans="1:8" ht="13" x14ac:dyDescent="0.35">
      <c r="A269" s="412" t="s">
        <v>372</v>
      </c>
      <c r="B269" s="412"/>
      <c r="C269" s="412"/>
      <c r="D269" s="412"/>
      <c r="E269" s="412"/>
      <c r="F269" s="412"/>
      <c r="G269" s="412"/>
      <c r="H269" s="412"/>
    </row>
    <row r="270" spans="1:8" ht="13" x14ac:dyDescent="0.35">
      <c r="A270" s="335" t="s">
        <v>241</v>
      </c>
      <c r="B270" s="335"/>
      <c r="C270" s="9" t="str">
        <f>IF(A247="","",IF(D251="Yes",0,IF(D249&lt;0.5,0,IF(D254&lt;2,0,IF(D255&lt;2,0,IF(AND(D249&lt;=10,D256&lt;(F247*0.25)),0,IF(AND(D249&gt;10,D256&lt;(F247*0.5)),0,IF(D257&lt;1,0,IF(D258="No",0,IF(D268&lt;F247,0,F247*1))))))))))</f>
        <v/>
      </c>
      <c r="D270" s="339" t="s">
        <v>2</v>
      </c>
      <c r="E270" s="340"/>
      <c r="F270" s="340"/>
      <c r="G270" s="340"/>
      <c r="H270" s="341"/>
    </row>
  </sheetData>
  <sheetProtection algorithmName="SHA-512" hashValue="zpClZ+ZBQQWqnldIgNgPPfjToqG+tz5cIrFVbs14NxklqP4voqOdBMUzOe03Jw73f1R0Mnd/aatdCmamH+35Wg==" saltValue="wWs2SDnj6e718VSKKhjsTQ==" spinCount="100000" sheet="1" formatColumns="0" formatRows="0"/>
  <mergeCells count="444">
    <mergeCell ref="A266:B266"/>
    <mergeCell ref="F266:H266"/>
    <mergeCell ref="A267:B267"/>
    <mergeCell ref="F267:H267"/>
    <mergeCell ref="A268:B268"/>
    <mergeCell ref="F268:H268"/>
    <mergeCell ref="A269:H269"/>
    <mergeCell ref="A270:B270"/>
    <mergeCell ref="D270:H270"/>
    <mergeCell ref="A261:B261"/>
    <mergeCell ref="F261:H261"/>
    <mergeCell ref="A262:B262"/>
    <mergeCell ref="F262:H262"/>
    <mergeCell ref="A263:B263"/>
    <mergeCell ref="F263:H263"/>
    <mergeCell ref="A264:B264"/>
    <mergeCell ref="F264:H264"/>
    <mergeCell ref="A265:B265"/>
    <mergeCell ref="F265:H265"/>
    <mergeCell ref="A256:C256"/>
    <mergeCell ref="E256:H256"/>
    <mergeCell ref="A257:C257"/>
    <mergeCell ref="E257:H257"/>
    <mergeCell ref="A258:C258"/>
    <mergeCell ref="E258:H258"/>
    <mergeCell ref="A259:H259"/>
    <mergeCell ref="A260:C260"/>
    <mergeCell ref="F260:H260"/>
    <mergeCell ref="A251:C251"/>
    <mergeCell ref="E251:H251"/>
    <mergeCell ref="A252:C252"/>
    <mergeCell ref="E252:H252"/>
    <mergeCell ref="A253:C253"/>
    <mergeCell ref="E253:H253"/>
    <mergeCell ref="A254:C254"/>
    <mergeCell ref="E254:H254"/>
    <mergeCell ref="A255:C255"/>
    <mergeCell ref="E255:H255"/>
    <mergeCell ref="A242:H242"/>
    <mergeCell ref="A243:B243"/>
    <mergeCell ref="D243:H243"/>
    <mergeCell ref="A245:H245"/>
    <mergeCell ref="A248:H248"/>
    <mergeCell ref="A249:C249"/>
    <mergeCell ref="E249:H249"/>
    <mergeCell ref="A250:C250"/>
    <mergeCell ref="E250:H250"/>
    <mergeCell ref="A237:B237"/>
    <mergeCell ref="F237:H237"/>
    <mergeCell ref="A238:B238"/>
    <mergeCell ref="F238:H238"/>
    <mergeCell ref="A239:B239"/>
    <mergeCell ref="F239:H239"/>
    <mergeCell ref="A240:B240"/>
    <mergeCell ref="F240:H240"/>
    <mergeCell ref="A241:B241"/>
    <mergeCell ref="F241:H241"/>
    <mergeCell ref="A232:H232"/>
    <mergeCell ref="A233:C233"/>
    <mergeCell ref="F233:H233"/>
    <mergeCell ref="A234:B234"/>
    <mergeCell ref="F234:H234"/>
    <mergeCell ref="A235:B235"/>
    <mergeCell ref="F235:H235"/>
    <mergeCell ref="A236:B236"/>
    <mergeCell ref="F236:H236"/>
    <mergeCell ref="A227:C227"/>
    <mergeCell ref="E227:H227"/>
    <mergeCell ref="A228:C228"/>
    <mergeCell ref="E228:H228"/>
    <mergeCell ref="A229:C229"/>
    <mergeCell ref="E229:H229"/>
    <mergeCell ref="A230:C230"/>
    <mergeCell ref="E230:H230"/>
    <mergeCell ref="A231:C231"/>
    <mergeCell ref="E231:H231"/>
    <mergeCell ref="A222:C222"/>
    <mergeCell ref="E222:H222"/>
    <mergeCell ref="A223:C223"/>
    <mergeCell ref="E223:H223"/>
    <mergeCell ref="A224:C224"/>
    <mergeCell ref="E224:H224"/>
    <mergeCell ref="A225:C225"/>
    <mergeCell ref="E225:H225"/>
    <mergeCell ref="A226:C226"/>
    <mergeCell ref="E226:H226"/>
    <mergeCell ref="A213:B213"/>
    <mergeCell ref="F213:H213"/>
    <mergeCell ref="A214:B214"/>
    <mergeCell ref="F214:H214"/>
    <mergeCell ref="A215:H215"/>
    <mergeCell ref="A216:B216"/>
    <mergeCell ref="D216:H216"/>
    <mergeCell ref="A218:H218"/>
    <mergeCell ref="A221:H221"/>
    <mergeCell ref="A208:B208"/>
    <mergeCell ref="F208:H208"/>
    <mergeCell ref="A209:B209"/>
    <mergeCell ref="F209:H209"/>
    <mergeCell ref="A210:B210"/>
    <mergeCell ref="F210:H210"/>
    <mergeCell ref="A211:B211"/>
    <mergeCell ref="F211:H211"/>
    <mergeCell ref="A212:B212"/>
    <mergeCell ref="F212:H212"/>
    <mergeCell ref="A203:C203"/>
    <mergeCell ref="E203:H203"/>
    <mergeCell ref="A204:C204"/>
    <mergeCell ref="E204:H204"/>
    <mergeCell ref="A205:H205"/>
    <mergeCell ref="A206:C206"/>
    <mergeCell ref="F206:H206"/>
    <mergeCell ref="A207:B207"/>
    <mergeCell ref="F207:H207"/>
    <mergeCell ref="A198:C198"/>
    <mergeCell ref="E198:H198"/>
    <mergeCell ref="A199:C199"/>
    <mergeCell ref="E199:H199"/>
    <mergeCell ref="A200:C200"/>
    <mergeCell ref="E200:H200"/>
    <mergeCell ref="A201:C201"/>
    <mergeCell ref="E201:H201"/>
    <mergeCell ref="A202:C202"/>
    <mergeCell ref="E202:H202"/>
    <mergeCell ref="A189:B189"/>
    <mergeCell ref="D189:H189"/>
    <mergeCell ref="A191:H191"/>
    <mergeCell ref="A194:H194"/>
    <mergeCell ref="A195:C195"/>
    <mergeCell ref="E195:H195"/>
    <mergeCell ref="A196:C196"/>
    <mergeCell ref="E196:H196"/>
    <mergeCell ref="A197:C197"/>
    <mergeCell ref="E197:H197"/>
    <mergeCell ref="A184:B184"/>
    <mergeCell ref="F184:H184"/>
    <mergeCell ref="A185:B185"/>
    <mergeCell ref="F185:H185"/>
    <mergeCell ref="A186:B186"/>
    <mergeCell ref="F186:H186"/>
    <mergeCell ref="A187:B187"/>
    <mergeCell ref="F187:H187"/>
    <mergeCell ref="A188:H188"/>
    <mergeCell ref="A179:C179"/>
    <mergeCell ref="F179:H179"/>
    <mergeCell ref="A180:B180"/>
    <mergeCell ref="F180:H180"/>
    <mergeCell ref="A181:B181"/>
    <mergeCell ref="F181:H181"/>
    <mergeCell ref="A182:B182"/>
    <mergeCell ref="F182:H182"/>
    <mergeCell ref="A183:B183"/>
    <mergeCell ref="F183:H183"/>
    <mergeCell ref="A174:C174"/>
    <mergeCell ref="E174:H174"/>
    <mergeCell ref="A175:C175"/>
    <mergeCell ref="E175:H175"/>
    <mergeCell ref="A176:C176"/>
    <mergeCell ref="E176:H176"/>
    <mergeCell ref="A177:C177"/>
    <mergeCell ref="E177:H177"/>
    <mergeCell ref="A178:H178"/>
    <mergeCell ref="A169:C169"/>
    <mergeCell ref="E169:H169"/>
    <mergeCell ref="A170:C170"/>
    <mergeCell ref="E170:H170"/>
    <mergeCell ref="A171:C171"/>
    <mergeCell ref="E171:H171"/>
    <mergeCell ref="A172:C172"/>
    <mergeCell ref="E172:H172"/>
    <mergeCell ref="A173:C173"/>
    <mergeCell ref="E173:H173"/>
    <mergeCell ref="A160:B160"/>
    <mergeCell ref="F160:H160"/>
    <mergeCell ref="A161:H161"/>
    <mergeCell ref="A162:B162"/>
    <mergeCell ref="D162:H162"/>
    <mergeCell ref="A164:H164"/>
    <mergeCell ref="A167:H167"/>
    <mergeCell ref="A168:C168"/>
    <mergeCell ref="E168:H168"/>
    <mergeCell ref="A155:B155"/>
    <mergeCell ref="F155:H155"/>
    <mergeCell ref="A156:B156"/>
    <mergeCell ref="F156:H156"/>
    <mergeCell ref="A157:B157"/>
    <mergeCell ref="F157:H157"/>
    <mergeCell ref="A158:B158"/>
    <mergeCell ref="F158:H158"/>
    <mergeCell ref="A159:B159"/>
    <mergeCell ref="F159:H159"/>
    <mergeCell ref="A150:C150"/>
    <mergeCell ref="E150:H150"/>
    <mergeCell ref="A151:H151"/>
    <mergeCell ref="A152:C152"/>
    <mergeCell ref="F152:H152"/>
    <mergeCell ref="A153:B153"/>
    <mergeCell ref="F153:H153"/>
    <mergeCell ref="A154:B154"/>
    <mergeCell ref="F154:H154"/>
    <mergeCell ref="A145:C145"/>
    <mergeCell ref="E145:H145"/>
    <mergeCell ref="A146:C146"/>
    <mergeCell ref="E146:H146"/>
    <mergeCell ref="A147:C147"/>
    <mergeCell ref="E147:H147"/>
    <mergeCell ref="A148:C148"/>
    <mergeCell ref="E148:H148"/>
    <mergeCell ref="A149:C149"/>
    <mergeCell ref="E149:H149"/>
    <mergeCell ref="A137:H137"/>
    <mergeCell ref="A140:H140"/>
    <mergeCell ref="A141:C141"/>
    <mergeCell ref="E141:H141"/>
    <mergeCell ref="A142:C142"/>
    <mergeCell ref="E142:H142"/>
    <mergeCell ref="A143:C143"/>
    <mergeCell ref="E143:H143"/>
    <mergeCell ref="A144:C144"/>
    <mergeCell ref="E144:H144"/>
    <mergeCell ref="E10:H10"/>
    <mergeCell ref="A37:C37"/>
    <mergeCell ref="E37:H37"/>
    <mergeCell ref="A64:C64"/>
    <mergeCell ref="E64:H64"/>
    <mergeCell ref="A91:C91"/>
    <mergeCell ref="E91:H91"/>
    <mergeCell ref="A118:C118"/>
    <mergeCell ref="E118:H118"/>
    <mergeCell ref="A115:C115"/>
    <mergeCell ref="E115:H115"/>
    <mergeCell ref="A117:C117"/>
    <mergeCell ref="E117:H117"/>
    <mergeCell ref="A103:B103"/>
    <mergeCell ref="F103:H103"/>
    <mergeCell ref="A104:B104"/>
    <mergeCell ref="F104:H104"/>
    <mergeCell ref="A105:B105"/>
    <mergeCell ref="F105:H105"/>
    <mergeCell ref="A100:B100"/>
    <mergeCell ref="F100:H100"/>
    <mergeCell ref="A101:B101"/>
    <mergeCell ref="F101:H101"/>
    <mergeCell ref="A102:B102"/>
    <mergeCell ref="A135:B135"/>
    <mergeCell ref="D135:H135"/>
    <mergeCell ref="I2:N2"/>
    <mergeCell ref="I3:N3"/>
    <mergeCell ref="I4:N4"/>
    <mergeCell ref="I5:N5"/>
    <mergeCell ref="A132:B132"/>
    <mergeCell ref="F132:H132"/>
    <mergeCell ref="A133:B133"/>
    <mergeCell ref="F133:H133"/>
    <mergeCell ref="A134:H134"/>
    <mergeCell ref="A129:B129"/>
    <mergeCell ref="F129:H129"/>
    <mergeCell ref="A130:B130"/>
    <mergeCell ref="F130:H130"/>
    <mergeCell ref="A131:B131"/>
    <mergeCell ref="F131:H131"/>
    <mergeCell ref="A126:B126"/>
    <mergeCell ref="F126:H126"/>
    <mergeCell ref="A127:B127"/>
    <mergeCell ref="F127:H127"/>
    <mergeCell ref="A128:B128"/>
    <mergeCell ref="F128:H128"/>
    <mergeCell ref="A123:C123"/>
    <mergeCell ref="E123:H123"/>
    <mergeCell ref="A124:H124"/>
    <mergeCell ref="A125:C125"/>
    <mergeCell ref="F125:H125"/>
    <mergeCell ref="A120:C120"/>
    <mergeCell ref="E120:H120"/>
    <mergeCell ref="A121:C121"/>
    <mergeCell ref="E121:H121"/>
    <mergeCell ref="A122:C122"/>
    <mergeCell ref="E122:H122"/>
    <mergeCell ref="A119:C119"/>
    <mergeCell ref="E119:H119"/>
    <mergeCell ref="A116:C116"/>
    <mergeCell ref="E116:H116"/>
    <mergeCell ref="A110:H110"/>
    <mergeCell ref="A113:H113"/>
    <mergeCell ref="A114:C114"/>
    <mergeCell ref="E114:H114"/>
    <mergeCell ref="A106:B106"/>
    <mergeCell ref="F106:H106"/>
    <mergeCell ref="A107:H107"/>
    <mergeCell ref="A108:B108"/>
    <mergeCell ref="D108:H108"/>
    <mergeCell ref="F102:H102"/>
    <mergeCell ref="A97:H97"/>
    <mergeCell ref="A98:C98"/>
    <mergeCell ref="F98:H98"/>
    <mergeCell ref="A99:B99"/>
    <mergeCell ref="F99:H99"/>
    <mergeCell ref="A94:C94"/>
    <mergeCell ref="E94:H94"/>
    <mergeCell ref="A95:C95"/>
    <mergeCell ref="E95:H95"/>
    <mergeCell ref="A96:C96"/>
    <mergeCell ref="E96:H96"/>
    <mergeCell ref="A90:C90"/>
    <mergeCell ref="E90:H90"/>
    <mergeCell ref="A92:C92"/>
    <mergeCell ref="E92:H92"/>
    <mergeCell ref="A93:C93"/>
    <mergeCell ref="E93:H93"/>
    <mergeCell ref="A86:H86"/>
    <mergeCell ref="A87:C87"/>
    <mergeCell ref="E87:H87"/>
    <mergeCell ref="A88:C88"/>
    <mergeCell ref="E88:H88"/>
    <mergeCell ref="A89:C89"/>
    <mergeCell ref="E89:H89"/>
    <mergeCell ref="A81:B81"/>
    <mergeCell ref="D81:H81"/>
    <mergeCell ref="A83:H83"/>
    <mergeCell ref="A78:B78"/>
    <mergeCell ref="F78:H78"/>
    <mergeCell ref="A79:B79"/>
    <mergeCell ref="F79:H79"/>
    <mergeCell ref="A80:H80"/>
    <mergeCell ref="A75:B75"/>
    <mergeCell ref="F75:H75"/>
    <mergeCell ref="A76:B76"/>
    <mergeCell ref="F76:H76"/>
    <mergeCell ref="A77:B77"/>
    <mergeCell ref="F77:H77"/>
    <mergeCell ref="A72:B72"/>
    <mergeCell ref="F72:H72"/>
    <mergeCell ref="A73:B73"/>
    <mergeCell ref="F73:H73"/>
    <mergeCell ref="A74:B74"/>
    <mergeCell ref="F74:H74"/>
    <mergeCell ref="A69:C69"/>
    <mergeCell ref="E69:H69"/>
    <mergeCell ref="A70:H70"/>
    <mergeCell ref="A71:C71"/>
    <mergeCell ref="F71:H71"/>
    <mergeCell ref="A66:C66"/>
    <mergeCell ref="E66:H66"/>
    <mergeCell ref="A67:C67"/>
    <mergeCell ref="E67:H67"/>
    <mergeCell ref="A68:C68"/>
    <mergeCell ref="E68:H68"/>
    <mergeCell ref="A61:C61"/>
    <mergeCell ref="E61:H61"/>
    <mergeCell ref="A63:C63"/>
    <mergeCell ref="E63:H63"/>
    <mergeCell ref="A65:C65"/>
    <mergeCell ref="E65:H65"/>
    <mergeCell ref="A62:C62"/>
    <mergeCell ref="E62:H62"/>
    <mergeCell ref="A56:H56"/>
    <mergeCell ref="A59:H59"/>
    <mergeCell ref="A60:C60"/>
    <mergeCell ref="E60:H60"/>
    <mergeCell ref="A52:B52"/>
    <mergeCell ref="F52:H52"/>
    <mergeCell ref="A53:H53"/>
    <mergeCell ref="A54:B54"/>
    <mergeCell ref="D54:H54"/>
    <mergeCell ref="A49:B49"/>
    <mergeCell ref="F49:H49"/>
    <mergeCell ref="A50:B50"/>
    <mergeCell ref="F50:H50"/>
    <mergeCell ref="A51:B51"/>
    <mergeCell ref="F51:H51"/>
    <mergeCell ref="A46:B46"/>
    <mergeCell ref="F46:H46"/>
    <mergeCell ref="A47:B47"/>
    <mergeCell ref="F47:H47"/>
    <mergeCell ref="A48:B48"/>
    <mergeCell ref="F48:H48"/>
    <mergeCell ref="A43:H43"/>
    <mergeCell ref="A44:C44"/>
    <mergeCell ref="F44:H44"/>
    <mergeCell ref="A45:B45"/>
    <mergeCell ref="F45:H45"/>
    <mergeCell ref="A40:C40"/>
    <mergeCell ref="E40:H40"/>
    <mergeCell ref="A41:C41"/>
    <mergeCell ref="E41:H41"/>
    <mergeCell ref="A42:C42"/>
    <mergeCell ref="E42:H42"/>
    <mergeCell ref="A36:C36"/>
    <mergeCell ref="E36:H36"/>
    <mergeCell ref="A38:C38"/>
    <mergeCell ref="E38:H38"/>
    <mergeCell ref="A39:C39"/>
    <mergeCell ref="E39:H39"/>
    <mergeCell ref="A34:C34"/>
    <mergeCell ref="E34:H34"/>
    <mergeCell ref="A35:C35"/>
    <mergeCell ref="E35:H35"/>
    <mergeCell ref="A2:H2"/>
    <mergeCell ref="A5:H5"/>
    <mergeCell ref="A6:C6"/>
    <mergeCell ref="E6:H6"/>
    <mergeCell ref="A7:C7"/>
    <mergeCell ref="E7:H7"/>
    <mergeCell ref="A16:H16"/>
    <mergeCell ref="A17:C17"/>
    <mergeCell ref="F17:H17"/>
    <mergeCell ref="A9:C9"/>
    <mergeCell ref="E9:H9"/>
    <mergeCell ref="A11:C11"/>
    <mergeCell ref="E11:H11"/>
    <mergeCell ref="A15:C15"/>
    <mergeCell ref="E15:H15"/>
    <mergeCell ref="A12:C12"/>
    <mergeCell ref="A8:C8"/>
    <mergeCell ref="E8:H8"/>
    <mergeCell ref="E12:H12"/>
    <mergeCell ref="A13:C13"/>
    <mergeCell ref="E13:H13"/>
    <mergeCell ref="A14:C14"/>
    <mergeCell ref="E14:H14"/>
    <mergeCell ref="A10:C10"/>
    <mergeCell ref="F21:H21"/>
    <mergeCell ref="A18:B18"/>
    <mergeCell ref="A20:B20"/>
    <mergeCell ref="A19:B19"/>
    <mergeCell ref="F19:H19"/>
    <mergeCell ref="A29:H29"/>
    <mergeCell ref="A32:H32"/>
    <mergeCell ref="A33:C33"/>
    <mergeCell ref="E33:H33"/>
    <mergeCell ref="F18:H18"/>
    <mergeCell ref="F20:H20"/>
    <mergeCell ref="A22:B22"/>
    <mergeCell ref="F22:H22"/>
    <mergeCell ref="A24:B24"/>
    <mergeCell ref="F24:H24"/>
    <mergeCell ref="A23:B23"/>
    <mergeCell ref="F23:H23"/>
    <mergeCell ref="A26:H26"/>
    <mergeCell ref="A27:B27"/>
    <mergeCell ref="D27:H27"/>
    <mergeCell ref="F25:H25"/>
    <mergeCell ref="A25:B25"/>
    <mergeCell ref="A21:B21"/>
  </mergeCells>
  <dataValidations disablePrompts="1" count="4">
    <dataValidation type="list" showInputMessage="1" showErrorMessage="1" promptTitle="Choose Area" sqref="A31 A85 A4 A58 A112 A139 A166 A193 A220 A247" xr:uid="{3058078B-C093-46A8-8601-53D050969C39}">
      <formula1>CatchNo</formula1>
    </dataValidation>
    <dataValidation type="list" showInputMessage="1" showErrorMessage="1" promptTitle="Yes or No?" sqref="D96 D15 D7:D8 D69 D61:D62 D42 D118 D34:D35 D123 D88:D89 D10 D37 D64 D91 D115:D116 D145 D150 D142:D143 D172 D177 D169:D170 D199 D204 D196:D197 D226 D231 D223:D224 D253 D258 D250:D251" xr:uid="{23CF486E-3E26-4542-BC11-CD1D57347E15}">
      <formula1>YesNo</formula1>
    </dataValidation>
    <dataValidation type="decimal" operator="greaterThan" allowBlank="1" showInputMessage="1" showErrorMessage="1" sqref="D11:D14 D6 D18:D19 D21 D38:D41 D33 D45:D46 D48 D65:D68 D60 D72:D73 D75 D92:D95 D87 D99:D100 D102 D119:D122 D114 D126:D127 D129 D146:D149 D141 D153:D154 D156 D173:D176 D168 D180:D181 D183 D200:D203 D195 D207:D208 D210 D227:D230 D222 D234:D235 D237 D254:D257 D249 D261:D262 D264" xr:uid="{68F4C96D-48EC-44FD-A0EA-A32504EEEE8D}">
      <formula1>0</formula1>
    </dataValidation>
    <dataValidation type="whole" operator="greaterThan" allowBlank="1" showInputMessage="1" showErrorMessage="1" sqref="D24 D51 D78 D105 D132 D159 D186 D213 D240 D267" xr:uid="{3330CAE6-15E9-4068-9578-D8A2191F1EDF}">
      <formula1>0</formula1>
    </dataValidation>
  </dataValidations>
  <pageMargins left="0.5" right="0.5" top="0.75" bottom="0.5" header="0.3" footer="0.3"/>
  <pageSetup paperSize="278" orientation="portrait" r:id="rId1"/>
  <headerFooter>
    <oddHeader>&amp;C&amp;"Arial,Regular"&amp;18Dry Well (I-3)</oddHeader>
  </headerFooter>
  <rowBreaks count="10" manualBreakCount="10">
    <brk id="27" max="16383" man="1"/>
    <brk id="54" max="16383" man="1"/>
    <brk id="81" max="16383" man="1"/>
    <brk id="108" max="16383" man="1"/>
    <brk id="135" max="16383" man="1"/>
    <brk id="162" max="16383" man="1"/>
    <brk id="189" max="16383" man="1"/>
    <brk id="216" max="16383" man="1"/>
    <brk id="243" max="16383" man="1"/>
    <brk id="27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CEFF4-6978-4F65-BEE9-104EEF65934F}">
  <dimension ref="A1:P240"/>
  <sheetViews>
    <sheetView view="pageLayout" zoomScale="90" zoomScaleNormal="55" zoomScalePageLayoutView="90" workbookViewId="0">
      <selection activeCell="E8" sqref="E8:H8"/>
    </sheetView>
  </sheetViews>
  <sheetFormatPr defaultColWidth="9.1796875" defaultRowHeight="12.5" x14ac:dyDescent="0.35"/>
  <cols>
    <col min="1" max="8" width="14.81640625" style="12" customWidth="1"/>
    <col min="9" max="9" width="9.1796875" style="12"/>
    <col min="10" max="13" width="9.1796875" style="12" hidden="1" customWidth="1"/>
    <col min="14" max="16384" width="9.1796875" style="12"/>
  </cols>
  <sheetData>
    <row r="1" spans="1:16" ht="15" customHeight="1" x14ac:dyDescent="0.35">
      <c r="A1" s="16" t="s">
        <v>56</v>
      </c>
      <c r="B1" s="225" t="str">
        <f>IF('STEP 2-WQv Calculation'!$B$4="","",'STEP 2-WQv Calculation'!$B$4)</f>
        <v/>
      </c>
    </row>
    <row r="2" spans="1:16" ht="13" x14ac:dyDescent="0.35">
      <c r="A2" s="236" t="s">
        <v>293</v>
      </c>
      <c r="B2" s="237"/>
      <c r="C2" s="237"/>
      <c r="D2" s="237"/>
      <c r="E2" s="237"/>
      <c r="F2" s="237"/>
      <c r="G2" s="237"/>
      <c r="H2" s="238"/>
      <c r="I2" s="255" t="s">
        <v>219</v>
      </c>
      <c r="J2" s="256"/>
      <c r="K2" s="256"/>
      <c r="L2" s="256"/>
      <c r="M2" s="256"/>
      <c r="N2" s="256"/>
      <c r="O2" s="49">
        <f>SUM(B4,B28,B52,B76,B100,B124,B148,B172,B196,B220)</f>
        <v>0</v>
      </c>
      <c r="P2" s="12" t="s">
        <v>223</v>
      </c>
    </row>
    <row r="3" spans="1:16" ht="46.75" customHeight="1" x14ac:dyDescent="0.35">
      <c r="A3" s="204" t="s">
        <v>60</v>
      </c>
      <c r="B3" s="205" t="s">
        <v>61</v>
      </c>
      <c r="C3" s="205" t="s">
        <v>62</v>
      </c>
      <c r="D3" s="205" t="s">
        <v>63</v>
      </c>
      <c r="E3" s="205" t="s">
        <v>64</v>
      </c>
      <c r="F3" s="205" t="s">
        <v>65</v>
      </c>
      <c r="G3" s="205" t="s">
        <v>244</v>
      </c>
      <c r="H3" s="206" t="s">
        <v>13</v>
      </c>
      <c r="I3" s="255" t="s">
        <v>245</v>
      </c>
      <c r="J3" s="256"/>
      <c r="K3" s="256"/>
      <c r="L3" s="256"/>
      <c r="M3" s="256"/>
      <c r="N3" s="256"/>
      <c r="O3" s="21">
        <f>SUM(C4,C28,C52,C76,C100,C124,C148,C172,C196,C220)</f>
        <v>0</v>
      </c>
      <c r="P3" s="12" t="s">
        <v>223</v>
      </c>
    </row>
    <row r="4" spans="1:16"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8" t="str">
        <f>IF($A4="","",(LOOKUP($A4,'STEP 2-WQv Calculation'!$A$8:$A$37,'STEP 2-WQv Calculation'!$G$8:$G$37)))</f>
        <v/>
      </c>
      <c r="I4" s="255" t="s">
        <v>227</v>
      </c>
      <c r="J4" s="256"/>
      <c r="K4" s="256"/>
      <c r="L4" s="256"/>
      <c r="M4" s="256"/>
      <c r="N4" s="256"/>
      <c r="O4" s="28">
        <f>SUM(C24,C48,C72,C96,C120,C144,C168,C192,C216,C240)</f>
        <v>0</v>
      </c>
      <c r="P4" s="12" t="s">
        <v>2</v>
      </c>
    </row>
    <row r="5" spans="1:16" ht="15" customHeight="1" x14ac:dyDescent="0.35">
      <c r="A5" s="409" t="s">
        <v>226</v>
      </c>
      <c r="B5" s="410"/>
      <c r="C5" s="410"/>
      <c r="D5" s="410"/>
      <c r="E5" s="410"/>
      <c r="F5" s="410"/>
      <c r="G5" s="410"/>
      <c r="H5" s="411"/>
      <c r="I5" s="413" t="s">
        <v>447</v>
      </c>
      <c r="J5" s="414"/>
      <c r="K5" s="414"/>
      <c r="L5" s="414"/>
      <c r="M5" s="414"/>
      <c r="N5" s="414"/>
      <c r="O5" s="28">
        <v>0</v>
      </c>
      <c r="P5" s="12" t="s">
        <v>2</v>
      </c>
    </row>
    <row r="6" spans="1:16" s="1" customFormat="1" ht="30" customHeight="1" x14ac:dyDescent="0.35">
      <c r="A6" s="242" t="s">
        <v>295</v>
      </c>
      <c r="B6" s="243"/>
      <c r="C6" s="244"/>
      <c r="D6" s="44"/>
      <c r="E6" s="322" t="str">
        <f>IF(D6="","",IF(D6&lt;0.5,"Does not meet design criteria",""))</f>
        <v/>
      </c>
      <c r="F6" s="323"/>
      <c r="G6" s="323"/>
      <c r="H6" s="324"/>
      <c r="I6" s="4"/>
    </row>
    <row r="7" spans="1:16" s="1" customFormat="1" ht="26.5" customHeight="1" x14ac:dyDescent="0.35">
      <c r="A7" s="242" t="s">
        <v>717</v>
      </c>
      <c r="B7" s="243"/>
      <c r="C7" s="244"/>
      <c r="D7" s="211"/>
      <c r="E7" s="322" t="str">
        <f>IF(D7="Yes","Two treatment practices in series required. Refer to Section 6.3.1","")</f>
        <v/>
      </c>
      <c r="F7" s="323"/>
      <c r="G7" s="323"/>
      <c r="H7" s="324"/>
      <c r="I7" s="4"/>
    </row>
    <row r="8" spans="1:16" s="1" customFormat="1" ht="26.5" customHeight="1" x14ac:dyDescent="0.35">
      <c r="A8" s="242" t="s">
        <v>718</v>
      </c>
      <c r="B8" s="243"/>
      <c r="C8" s="244"/>
      <c r="D8" s="211"/>
      <c r="E8" s="322" t="str">
        <f>IF(D8="","See Section 4.14 of the Design Manual",IF(D8="Yes","Does not meet design criteria",""))</f>
        <v>See Section 4.14 of the Design Manual</v>
      </c>
      <c r="F8" s="323"/>
      <c r="G8" s="323"/>
      <c r="H8" s="324"/>
      <c r="I8" s="4"/>
    </row>
    <row r="9" spans="1:16" s="1" customFormat="1" ht="25.15" customHeight="1" x14ac:dyDescent="0.35">
      <c r="A9" s="242" t="s">
        <v>541</v>
      </c>
      <c r="B9" s="243"/>
      <c r="C9" s="244"/>
      <c r="D9" s="135" t="str">
        <f>IF(B4="","",IF(B4&gt;10,"Yes","No"))</f>
        <v/>
      </c>
      <c r="E9" s="322" t="str">
        <f>IF(D9="","",IF(D9="Yes","Does not meet design criteria",""))</f>
        <v/>
      </c>
      <c r="F9" s="323"/>
      <c r="G9" s="323"/>
      <c r="H9" s="324"/>
      <c r="I9" s="4"/>
    </row>
    <row r="10" spans="1:16" s="1" customFormat="1" ht="25.15" customHeight="1" x14ac:dyDescent="0.35">
      <c r="A10" s="242" t="s">
        <v>703</v>
      </c>
      <c r="B10" s="406"/>
      <c r="C10" s="407"/>
      <c r="D10" s="43"/>
      <c r="E10" s="322"/>
      <c r="F10" s="406"/>
      <c r="G10" s="406"/>
      <c r="H10" s="407"/>
      <c r="I10" s="4"/>
    </row>
    <row r="11" spans="1:16" s="1" customFormat="1" ht="13.9" customHeight="1" x14ac:dyDescent="0.35">
      <c r="A11" s="242" t="s">
        <v>296</v>
      </c>
      <c r="B11" s="243"/>
      <c r="C11" s="244"/>
      <c r="D11" s="43"/>
      <c r="E11" s="322" t="str">
        <f>IF(OR(AND(D10="Yes",D11&lt;4),AND(D10="No",D11&lt;2)),"Does not meet design criteria","")</f>
        <v/>
      </c>
      <c r="F11" s="323"/>
      <c r="G11" s="323"/>
      <c r="H11" s="324"/>
      <c r="I11" s="4"/>
    </row>
    <row r="12" spans="1:16" s="1" customFormat="1" ht="13.9" customHeight="1" x14ac:dyDescent="0.35">
      <c r="A12" s="242" t="s">
        <v>297</v>
      </c>
      <c r="B12" s="243"/>
      <c r="C12" s="244"/>
      <c r="D12" s="43"/>
      <c r="E12" s="322" t="str">
        <f>IF(D12="","",IF(D12&lt;2,"Does not meet design criteria",""))</f>
        <v/>
      </c>
      <c r="F12" s="323"/>
      <c r="G12" s="323"/>
      <c r="H12" s="324"/>
      <c r="I12" s="4"/>
    </row>
    <row r="13" spans="1:16" s="1" customFormat="1" ht="13.9" customHeight="1" x14ac:dyDescent="0.35">
      <c r="A13" s="242" t="s">
        <v>507</v>
      </c>
      <c r="B13" s="243"/>
      <c r="C13" s="244"/>
      <c r="D13" s="43"/>
      <c r="E13" s="322" t="str">
        <f>IF(D13="","",IF(AND(D6&lt;=10,D13&lt;(F4*0.25)),"Does not meet design criteria",IF(AND(D6&gt;10,D13&lt;(F4*0.5)),"Does not meet design criteria","")))</f>
        <v/>
      </c>
      <c r="F13" s="323"/>
      <c r="G13" s="323"/>
      <c r="H13" s="324"/>
      <c r="I13" s="4"/>
    </row>
    <row r="14" spans="1:16" ht="13" x14ac:dyDescent="0.35">
      <c r="A14" s="409" t="s">
        <v>232</v>
      </c>
      <c r="B14" s="410"/>
      <c r="C14" s="410"/>
      <c r="D14" s="410"/>
      <c r="E14" s="410"/>
      <c r="F14" s="410"/>
      <c r="G14" s="410"/>
      <c r="H14" s="411"/>
    </row>
    <row r="15" spans="1:16" s="34" customFormat="1" ht="15" customHeight="1" x14ac:dyDescent="0.3">
      <c r="A15" s="378"/>
      <c r="B15" s="379"/>
      <c r="C15" s="380"/>
      <c r="D15" s="222" t="s">
        <v>256</v>
      </c>
      <c r="E15" s="208" t="s">
        <v>257</v>
      </c>
      <c r="F15" s="375" t="s">
        <v>258</v>
      </c>
      <c r="G15" s="376"/>
      <c r="H15" s="377"/>
      <c r="I15" s="4"/>
      <c r="J15" s="4"/>
      <c r="K15" s="4"/>
      <c r="L15" s="4"/>
      <c r="M15" s="4"/>
      <c r="N15" s="4"/>
      <c r="O15" s="4"/>
      <c r="P15" s="4"/>
    </row>
    <row r="16" spans="1:16" s="34" customFormat="1" ht="15" customHeight="1" x14ac:dyDescent="0.3">
      <c r="A16" s="289" t="s">
        <v>302</v>
      </c>
      <c r="B16" s="289"/>
      <c r="C16" s="198" t="s">
        <v>303</v>
      </c>
      <c r="D16" s="212" t="str">
        <f>F4</f>
        <v/>
      </c>
      <c r="E16" s="193" t="s">
        <v>2</v>
      </c>
      <c r="F16" s="344"/>
      <c r="G16" s="344"/>
      <c r="H16" s="344"/>
      <c r="I16" s="4"/>
      <c r="J16" s="4"/>
      <c r="K16" s="4"/>
      <c r="L16" s="4"/>
      <c r="M16" s="4"/>
      <c r="N16" s="4"/>
      <c r="O16" s="4"/>
      <c r="P16" s="4"/>
    </row>
    <row r="17" spans="1:16" s="34" customFormat="1" ht="15" customHeight="1" x14ac:dyDescent="0.3">
      <c r="A17" s="289" t="s">
        <v>542</v>
      </c>
      <c r="B17" s="289"/>
      <c r="C17" s="198" t="s">
        <v>523</v>
      </c>
      <c r="D17" s="155"/>
      <c r="E17" s="193" t="s">
        <v>271</v>
      </c>
      <c r="F17" s="344"/>
      <c r="G17" s="344"/>
      <c r="H17" s="344"/>
      <c r="I17" s="4"/>
      <c r="J17" s="4"/>
      <c r="K17" s="4"/>
      <c r="L17" s="4"/>
      <c r="M17" s="4"/>
      <c r="N17" s="4"/>
      <c r="O17" s="4"/>
      <c r="P17" s="4"/>
    </row>
    <row r="18" spans="1:16" s="34" customFormat="1" ht="15" customHeight="1" x14ac:dyDescent="0.3">
      <c r="A18" s="334" t="s">
        <v>513</v>
      </c>
      <c r="B18" s="334"/>
      <c r="C18" s="217" t="s">
        <v>524</v>
      </c>
      <c r="D18" s="217" t="e">
        <f>ROUND(D16/D17,0)</f>
        <v>#VALUE!</v>
      </c>
      <c r="E18" s="144" t="s">
        <v>316</v>
      </c>
      <c r="F18" s="387"/>
      <c r="G18" s="388"/>
      <c r="H18" s="389"/>
      <c r="I18" s="4"/>
      <c r="J18" s="4"/>
      <c r="K18" s="4"/>
      <c r="L18" s="4"/>
      <c r="M18" s="4"/>
      <c r="N18" s="4"/>
      <c r="O18" s="4"/>
      <c r="P18" s="4"/>
    </row>
    <row r="19" spans="1:16" s="34" customFormat="1" ht="15" customHeight="1" x14ac:dyDescent="0.3">
      <c r="A19" s="334" t="s">
        <v>515</v>
      </c>
      <c r="B19" s="334"/>
      <c r="C19" s="217" t="s">
        <v>524</v>
      </c>
      <c r="D19" s="218"/>
      <c r="E19" s="144" t="s">
        <v>316</v>
      </c>
      <c r="F19" s="387" t="str">
        <f>IF(D19="","",IF(D19&lt;D18,"Does not meet design criteria",IF(D19&lt;D17,"Does not meet design criteria","")))</f>
        <v/>
      </c>
      <c r="G19" s="388"/>
      <c r="H19" s="389"/>
      <c r="I19" s="4"/>
      <c r="J19" s="4"/>
      <c r="K19" s="4"/>
      <c r="L19" s="4"/>
      <c r="M19" s="4"/>
      <c r="N19" s="4"/>
      <c r="O19" s="4"/>
      <c r="P19" s="4"/>
    </row>
    <row r="20" spans="1:16" x14ac:dyDescent="0.35">
      <c r="A20" s="334" t="s">
        <v>543</v>
      </c>
      <c r="B20" s="334"/>
      <c r="C20" s="217" t="s">
        <v>536</v>
      </c>
      <c r="D20" s="43"/>
      <c r="E20" s="144" t="s">
        <v>2</v>
      </c>
      <c r="F20" s="387" t="s">
        <v>544</v>
      </c>
      <c r="G20" s="388"/>
      <c r="H20" s="389"/>
    </row>
    <row r="21" spans="1:16" ht="15" customHeight="1" x14ac:dyDescent="0.35">
      <c r="A21" s="289" t="s">
        <v>545</v>
      </c>
      <c r="B21" s="289"/>
      <c r="C21" s="198" t="s">
        <v>546</v>
      </c>
      <c r="D21" s="43"/>
      <c r="E21" s="193" t="s">
        <v>2</v>
      </c>
      <c r="F21" s="344" t="s">
        <v>547</v>
      </c>
      <c r="G21" s="344"/>
      <c r="H21" s="344"/>
    </row>
    <row r="22" spans="1:16" ht="30.65" customHeight="1" x14ac:dyDescent="0.35">
      <c r="A22" s="334" t="s">
        <v>540</v>
      </c>
      <c r="B22" s="334"/>
      <c r="C22" s="217" t="s">
        <v>303</v>
      </c>
      <c r="D22" s="198">
        <f>SUM(D20:D21)</f>
        <v>0</v>
      </c>
      <c r="E22" s="144" t="s">
        <v>2</v>
      </c>
      <c r="F22" s="387" t="str">
        <f>IF(D22=0,"",IF(D22&lt;F4,"Does not meet sizing criteria",""))</f>
        <v/>
      </c>
      <c r="G22" s="388"/>
      <c r="H22" s="389"/>
    </row>
    <row r="23" spans="1:16" ht="15" customHeight="1" x14ac:dyDescent="0.35">
      <c r="A23" s="412" t="s">
        <v>372</v>
      </c>
      <c r="B23" s="412"/>
      <c r="C23" s="412"/>
      <c r="D23" s="412"/>
      <c r="E23" s="412"/>
      <c r="F23" s="412"/>
      <c r="G23" s="412"/>
      <c r="H23" s="412"/>
    </row>
    <row r="24" spans="1:16" ht="15" customHeight="1" x14ac:dyDescent="0.35">
      <c r="A24" s="335" t="s">
        <v>241</v>
      </c>
      <c r="B24" s="335"/>
      <c r="C24" s="9" t="str">
        <f>IF(A4="","",IF(D8="Yes",0,IF(D6&lt;0.5,0,IF(D9="Yes",0,IF(D11&lt;2,0,IF(D12&lt;2,0,IF(AND(D6&lt;=10,D13&lt;(F4*0.25)),0,IF(AND(D6&gt;10,D13&lt;(F4*0.5)),0,IF(D22&lt;F4,0,F4*1)))))))))</f>
        <v/>
      </c>
      <c r="D24" s="339" t="s">
        <v>2</v>
      </c>
      <c r="E24" s="340"/>
      <c r="F24" s="340"/>
      <c r="G24" s="340"/>
      <c r="H24" s="341"/>
    </row>
    <row r="25" spans="1:16" ht="15" customHeight="1" x14ac:dyDescent="0.35">
      <c r="A25" s="16" t="s">
        <v>56</v>
      </c>
      <c r="B25" s="225" t="str">
        <f>IF('STEP 2-WQv Calculation'!$B$4="","",'STEP 2-WQv Calculation'!$B$4)</f>
        <v/>
      </c>
    </row>
    <row r="26" spans="1:16" ht="13" x14ac:dyDescent="0.35">
      <c r="A26" s="236" t="s">
        <v>293</v>
      </c>
      <c r="B26" s="237"/>
      <c r="C26" s="237"/>
      <c r="D26" s="237"/>
      <c r="E26" s="237"/>
      <c r="F26" s="237"/>
      <c r="G26" s="237"/>
      <c r="H26" s="238"/>
      <c r="I26" s="255"/>
      <c r="J26" s="256"/>
      <c r="K26" s="256"/>
      <c r="L26" s="256"/>
      <c r="M26" s="256"/>
      <c r="N26" s="256"/>
      <c r="O26" s="49"/>
    </row>
    <row r="27" spans="1:16" ht="46.75" customHeight="1" x14ac:dyDescent="0.35">
      <c r="A27" s="204" t="s">
        <v>60</v>
      </c>
      <c r="B27" s="205" t="s">
        <v>61</v>
      </c>
      <c r="C27" s="205" t="s">
        <v>62</v>
      </c>
      <c r="D27" s="205" t="s">
        <v>63</v>
      </c>
      <c r="E27" s="205" t="s">
        <v>64</v>
      </c>
      <c r="F27" s="205" t="s">
        <v>65</v>
      </c>
      <c r="G27" s="205" t="s">
        <v>244</v>
      </c>
      <c r="H27" s="206" t="s">
        <v>13</v>
      </c>
      <c r="I27" s="255"/>
      <c r="J27" s="256"/>
      <c r="K27" s="256"/>
      <c r="L27" s="256"/>
      <c r="M27" s="256"/>
      <c r="N27" s="256"/>
      <c r="O27" s="28"/>
    </row>
    <row r="28" spans="1:16" ht="30.25" customHeight="1" x14ac:dyDescent="0.35">
      <c r="A28" s="218"/>
      <c r="B28" s="3" t="str">
        <f>IF($A28="","",(LOOKUP($A28,'STEP 2-WQv Calculation'!$A$8:$A$37,'STEP 2-WQv Calculation'!$B$8:$B$37)))</f>
        <v/>
      </c>
      <c r="C28" s="3" t="str">
        <f>IF($A28="","",(LOOKUP($A28,'STEP 2-WQv Calculation'!$A$8:$A$37,'STEP 2-WQv Calculation'!$C$8:$C$37)))</f>
        <v/>
      </c>
      <c r="D28" s="212" t="str">
        <f>IF($A28="","",(LOOKUP($A28,'STEP 2-WQv Calculation'!$A$8:$A$37,'STEP 2-WQv Calculation'!$D$8:$D$37)))</f>
        <v/>
      </c>
      <c r="E28" s="3" t="str">
        <f>IF($A28="","",(LOOKUP($A28,'STEP 2-WQv Calculation'!$A$8:$A$37,'STEP 2-WQv Calculation'!$E32:$E$37)))</f>
        <v/>
      </c>
      <c r="F28" s="217" t="str">
        <f>IF($A28="","",(LOOKUP($A28,'STEP 2-WQv Calculation'!$A$8:$A$37,'STEP 2-WQv Calculation'!$F$8:$F$37)))</f>
        <v/>
      </c>
      <c r="G28" s="22">
        <f>'STEP 2-WQv Calculation'!B5</f>
        <v>0</v>
      </c>
      <c r="H28" s="198" t="str">
        <f>IF($A28="","",(LOOKUP($A28,'STEP 2-WQv Calculation'!$A$8:$A$37,'STEP 2-WQv Calculation'!$G$8:$G$37)))</f>
        <v/>
      </c>
      <c r="I28" s="255"/>
      <c r="J28" s="256"/>
      <c r="K28" s="256"/>
      <c r="L28" s="256"/>
      <c r="M28" s="256"/>
      <c r="N28" s="256"/>
      <c r="O28" s="28"/>
    </row>
    <row r="29" spans="1:16" ht="15" customHeight="1" x14ac:dyDescent="0.35">
      <c r="A29" s="409" t="s">
        <v>226</v>
      </c>
      <c r="B29" s="410"/>
      <c r="C29" s="410"/>
      <c r="D29" s="410"/>
      <c r="E29" s="410"/>
      <c r="F29" s="410"/>
      <c r="G29" s="410"/>
      <c r="H29" s="411"/>
      <c r="I29" s="413"/>
      <c r="J29" s="414"/>
      <c r="K29" s="414"/>
      <c r="L29" s="414"/>
      <c r="M29" s="414"/>
      <c r="N29" s="414"/>
      <c r="O29" s="28"/>
    </row>
    <row r="30" spans="1:16" s="1" customFormat="1" ht="30" customHeight="1" x14ac:dyDescent="0.35">
      <c r="A30" s="242" t="s">
        <v>295</v>
      </c>
      <c r="B30" s="243"/>
      <c r="C30" s="244"/>
      <c r="D30" s="44"/>
      <c r="E30" s="322" t="str">
        <f>IF(D30="","",IF(D30&lt;0.5,"Does not meet design criteria",""))</f>
        <v/>
      </c>
      <c r="F30" s="323"/>
      <c r="G30" s="323"/>
      <c r="H30" s="324"/>
      <c r="I30" s="4"/>
    </row>
    <row r="31" spans="1:16" s="1" customFormat="1" ht="26.5" customHeight="1" x14ac:dyDescent="0.35">
      <c r="A31" s="242" t="s">
        <v>717</v>
      </c>
      <c r="B31" s="243"/>
      <c r="C31" s="244"/>
      <c r="D31" s="211"/>
      <c r="E31" s="322" t="str">
        <f>IF(D31="Yes","Two treatment practices in series required. Refer to Section 6.3.1","")</f>
        <v/>
      </c>
      <c r="F31" s="323"/>
      <c r="G31" s="323"/>
      <c r="H31" s="324"/>
      <c r="I31" s="4"/>
    </row>
    <row r="32" spans="1:16" s="1" customFormat="1" ht="26.5" customHeight="1" x14ac:dyDescent="0.35">
      <c r="A32" s="242" t="s">
        <v>718</v>
      </c>
      <c r="B32" s="243"/>
      <c r="C32" s="244"/>
      <c r="D32" s="211"/>
      <c r="E32" s="322" t="str">
        <f>IF(D32="","See Section 4.14 of the Design Manual",IF(D32="Yes","Does not meet design criteria",""))</f>
        <v>See Section 4.14 of the Design Manual</v>
      </c>
      <c r="F32" s="323"/>
      <c r="G32" s="323"/>
      <c r="H32" s="324"/>
      <c r="I32" s="4"/>
    </row>
    <row r="33" spans="1:16" s="1" customFormat="1" ht="25.15" customHeight="1" x14ac:dyDescent="0.35">
      <c r="A33" s="242" t="s">
        <v>541</v>
      </c>
      <c r="B33" s="243"/>
      <c r="C33" s="244"/>
      <c r="D33" s="135" t="str">
        <f>IF(B28="","",IF(B28&gt;10,"Yes","No"))</f>
        <v/>
      </c>
      <c r="E33" s="322" t="str">
        <f>IF(D33="","",IF(D33="Yes","Does not meet design criteria",""))</f>
        <v/>
      </c>
      <c r="F33" s="323"/>
      <c r="G33" s="323"/>
      <c r="H33" s="324"/>
      <c r="I33" s="4"/>
    </row>
    <row r="34" spans="1:16" s="1" customFormat="1" ht="25.15" customHeight="1" x14ac:dyDescent="0.35">
      <c r="A34" s="242" t="s">
        <v>703</v>
      </c>
      <c r="B34" s="406"/>
      <c r="C34" s="407"/>
      <c r="D34" s="43"/>
      <c r="E34" s="322"/>
      <c r="F34" s="406"/>
      <c r="G34" s="406"/>
      <c r="H34" s="407"/>
      <c r="I34" s="4"/>
    </row>
    <row r="35" spans="1:16" s="1" customFormat="1" ht="13.9" customHeight="1" x14ac:dyDescent="0.35">
      <c r="A35" s="242" t="s">
        <v>296</v>
      </c>
      <c r="B35" s="243"/>
      <c r="C35" s="244"/>
      <c r="D35" s="43"/>
      <c r="E35" s="322" t="str">
        <f>IF(OR(AND(D34="Yes",D35&lt;4),AND(D34="No",D35&lt;2)),"Does not meet design criteria","")</f>
        <v/>
      </c>
      <c r="F35" s="323"/>
      <c r="G35" s="323"/>
      <c r="H35" s="324"/>
      <c r="I35" s="4"/>
    </row>
    <row r="36" spans="1:16" s="1" customFormat="1" ht="13.9" customHeight="1" x14ac:dyDescent="0.35">
      <c r="A36" s="242" t="s">
        <v>297</v>
      </c>
      <c r="B36" s="243"/>
      <c r="C36" s="244"/>
      <c r="D36" s="43"/>
      <c r="E36" s="322" t="str">
        <f>IF(D36="","",IF(D36&lt;2,"Does not meet design criteria",""))</f>
        <v/>
      </c>
      <c r="F36" s="323"/>
      <c r="G36" s="323"/>
      <c r="H36" s="324"/>
      <c r="I36" s="4"/>
    </row>
    <row r="37" spans="1:16" s="1" customFormat="1" ht="13.9" customHeight="1" x14ac:dyDescent="0.35">
      <c r="A37" s="242" t="s">
        <v>507</v>
      </c>
      <c r="B37" s="243"/>
      <c r="C37" s="244"/>
      <c r="D37" s="43"/>
      <c r="E37" s="322" t="str">
        <f>IF(D37="","",IF(AND(D30&lt;=10,D37&lt;(F28*0.25)),"Does not meet design criteria",IF(AND(D30&gt;10,D37&lt;(F28*0.5)),"Does not meet design criteria","")))</f>
        <v/>
      </c>
      <c r="F37" s="323"/>
      <c r="G37" s="323"/>
      <c r="H37" s="324"/>
      <c r="I37" s="4"/>
    </row>
    <row r="38" spans="1:16" ht="13" x14ac:dyDescent="0.35">
      <c r="A38" s="409" t="s">
        <v>232</v>
      </c>
      <c r="B38" s="410"/>
      <c r="C38" s="410"/>
      <c r="D38" s="410"/>
      <c r="E38" s="410"/>
      <c r="F38" s="410"/>
      <c r="G38" s="410"/>
      <c r="H38" s="411"/>
    </row>
    <row r="39" spans="1:16" s="34" customFormat="1" ht="15" customHeight="1" x14ac:dyDescent="0.3">
      <c r="A39" s="378"/>
      <c r="B39" s="379"/>
      <c r="C39" s="380"/>
      <c r="D39" s="222" t="s">
        <v>256</v>
      </c>
      <c r="E39" s="208" t="s">
        <v>257</v>
      </c>
      <c r="F39" s="375" t="s">
        <v>258</v>
      </c>
      <c r="G39" s="376"/>
      <c r="H39" s="377"/>
      <c r="I39" s="4"/>
      <c r="J39" s="4"/>
      <c r="K39" s="4"/>
      <c r="L39" s="4"/>
      <c r="M39" s="4"/>
      <c r="N39" s="4"/>
      <c r="O39" s="4"/>
      <c r="P39" s="4"/>
    </row>
    <row r="40" spans="1:16" s="34" customFormat="1" ht="15" customHeight="1" x14ac:dyDescent="0.3">
      <c r="A40" s="289" t="s">
        <v>302</v>
      </c>
      <c r="B40" s="289"/>
      <c r="C40" s="198" t="s">
        <v>303</v>
      </c>
      <c r="D40" s="212" t="str">
        <f>F28</f>
        <v/>
      </c>
      <c r="E40" s="193" t="s">
        <v>2</v>
      </c>
      <c r="F40" s="344"/>
      <c r="G40" s="344"/>
      <c r="H40" s="344"/>
      <c r="I40" s="4"/>
      <c r="J40" s="4"/>
      <c r="K40" s="4"/>
      <c r="L40" s="4"/>
      <c r="M40" s="4"/>
      <c r="N40" s="4"/>
      <c r="O40" s="4"/>
      <c r="P40" s="4"/>
    </row>
    <row r="41" spans="1:16" s="34" customFormat="1" ht="15" customHeight="1" x14ac:dyDescent="0.3">
      <c r="A41" s="289" t="s">
        <v>542</v>
      </c>
      <c r="B41" s="289"/>
      <c r="C41" s="198" t="s">
        <v>523</v>
      </c>
      <c r="D41" s="155"/>
      <c r="E41" s="193" t="s">
        <v>271</v>
      </c>
      <c r="F41" s="344"/>
      <c r="G41" s="344"/>
      <c r="H41" s="344"/>
      <c r="I41" s="4"/>
      <c r="J41" s="4"/>
      <c r="K41" s="4"/>
      <c r="L41" s="4"/>
      <c r="M41" s="4"/>
      <c r="N41" s="4"/>
      <c r="O41" s="4"/>
      <c r="P41" s="4"/>
    </row>
    <row r="42" spans="1:16" s="34" customFormat="1" ht="15" customHeight="1" x14ac:dyDescent="0.3">
      <c r="A42" s="334" t="s">
        <v>513</v>
      </c>
      <c r="B42" s="334"/>
      <c r="C42" s="217" t="s">
        <v>524</v>
      </c>
      <c r="D42" s="217" t="e">
        <f>ROUND(D40/D41,0)</f>
        <v>#VALUE!</v>
      </c>
      <c r="E42" s="144" t="s">
        <v>316</v>
      </c>
      <c r="F42" s="387"/>
      <c r="G42" s="388"/>
      <c r="H42" s="389"/>
      <c r="I42" s="4"/>
      <c r="J42" s="4"/>
      <c r="K42" s="4"/>
      <c r="L42" s="4"/>
      <c r="M42" s="4"/>
      <c r="N42" s="4"/>
      <c r="O42" s="4"/>
      <c r="P42" s="4"/>
    </row>
    <row r="43" spans="1:16" s="34" customFormat="1" ht="15" customHeight="1" x14ac:dyDescent="0.3">
      <c r="A43" s="334" t="s">
        <v>515</v>
      </c>
      <c r="B43" s="334"/>
      <c r="C43" s="217" t="s">
        <v>524</v>
      </c>
      <c r="D43" s="218"/>
      <c r="E43" s="144" t="s">
        <v>316</v>
      </c>
      <c r="F43" s="387" t="str">
        <f>IF(D43="","",IF(D43&lt;D42,"Does not meet design criteria",IF(D43&lt;D41,"Does not meet design criteria","")))</f>
        <v/>
      </c>
      <c r="G43" s="388"/>
      <c r="H43" s="389"/>
      <c r="I43" s="4"/>
      <c r="J43" s="4"/>
      <c r="K43" s="4"/>
      <c r="L43" s="4"/>
      <c r="M43" s="4"/>
      <c r="N43" s="4"/>
      <c r="O43" s="4"/>
      <c r="P43" s="4"/>
    </row>
    <row r="44" spans="1:16" x14ac:dyDescent="0.35">
      <c r="A44" s="334" t="s">
        <v>543</v>
      </c>
      <c r="B44" s="334"/>
      <c r="C44" s="217" t="s">
        <v>536</v>
      </c>
      <c r="D44" s="43"/>
      <c r="E44" s="144" t="s">
        <v>2</v>
      </c>
      <c r="F44" s="387" t="s">
        <v>544</v>
      </c>
      <c r="G44" s="388"/>
      <c r="H44" s="389"/>
    </row>
    <row r="45" spans="1:16" ht="15" customHeight="1" x14ac:dyDescent="0.35">
      <c r="A45" s="289" t="s">
        <v>545</v>
      </c>
      <c r="B45" s="289"/>
      <c r="C45" s="198" t="s">
        <v>546</v>
      </c>
      <c r="D45" s="43"/>
      <c r="E45" s="193" t="s">
        <v>2</v>
      </c>
      <c r="F45" s="344" t="s">
        <v>547</v>
      </c>
      <c r="G45" s="344"/>
      <c r="H45" s="344"/>
    </row>
    <row r="46" spans="1:16" ht="30.65" customHeight="1" x14ac:dyDescent="0.35">
      <c r="A46" s="334" t="s">
        <v>540</v>
      </c>
      <c r="B46" s="334"/>
      <c r="C46" s="217" t="s">
        <v>303</v>
      </c>
      <c r="D46" s="198">
        <f>SUM(D44:D45)</f>
        <v>0</v>
      </c>
      <c r="E46" s="144" t="s">
        <v>2</v>
      </c>
      <c r="F46" s="387" t="str">
        <f>IF(D46=0,"",IF(D46&lt;F28,"Does not meet sizing criteria",""))</f>
        <v/>
      </c>
      <c r="G46" s="388"/>
      <c r="H46" s="389"/>
    </row>
    <row r="47" spans="1:16" ht="15" customHeight="1" x14ac:dyDescent="0.35">
      <c r="A47" s="412" t="s">
        <v>372</v>
      </c>
      <c r="B47" s="412"/>
      <c r="C47" s="412"/>
      <c r="D47" s="412"/>
      <c r="E47" s="412"/>
      <c r="F47" s="412"/>
      <c r="G47" s="412"/>
      <c r="H47" s="412"/>
    </row>
    <row r="48" spans="1:16" ht="15" customHeight="1" x14ac:dyDescent="0.35">
      <c r="A48" s="335" t="s">
        <v>241</v>
      </c>
      <c r="B48" s="335"/>
      <c r="C48" s="9" t="str">
        <f>IF(A28="","",IF(D32="Yes",0,IF(D30&lt;0.5,0,IF(D33="Yes",0,IF(D35&lt;2,0,IF(D36&lt;2,0,IF(AND(D30&lt;=10,D37&lt;(F28*0.25)),0,IF(AND(D30&gt;10,D37&lt;(F28*0.5)),0,IF(D46&lt;F28,0,F28*1)))))))))</f>
        <v/>
      </c>
      <c r="D48" s="339" t="s">
        <v>2</v>
      </c>
      <c r="E48" s="340"/>
      <c r="F48" s="340"/>
      <c r="G48" s="340"/>
      <c r="H48" s="341"/>
    </row>
    <row r="49" spans="1:16" ht="15" customHeight="1" x14ac:dyDescent="0.35">
      <c r="A49" s="16" t="s">
        <v>56</v>
      </c>
      <c r="B49" s="225" t="str">
        <f>IF('STEP 2-WQv Calculation'!$B$4="","",'STEP 2-WQv Calculation'!$B$4)</f>
        <v/>
      </c>
    </row>
    <row r="50" spans="1:16" ht="13" x14ac:dyDescent="0.35">
      <c r="A50" s="236" t="s">
        <v>293</v>
      </c>
      <c r="B50" s="237"/>
      <c r="C50" s="237"/>
      <c r="D50" s="237"/>
      <c r="E50" s="237"/>
      <c r="F50" s="237"/>
      <c r="G50" s="237"/>
      <c r="H50" s="238"/>
      <c r="I50" s="255"/>
      <c r="J50" s="256"/>
      <c r="K50" s="256"/>
      <c r="L50" s="256"/>
      <c r="M50" s="256"/>
      <c r="N50" s="256"/>
      <c r="O50" s="49"/>
    </row>
    <row r="51" spans="1:16" ht="46.75" customHeight="1" x14ac:dyDescent="0.35">
      <c r="A51" s="204" t="s">
        <v>60</v>
      </c>
      <c r="B51" s="205" t="s">
        <v>61</v>
      </c>
      <c r="C51" s="205" t="s">
        <v>62</v>
      </c>
      <c r="D51" s="205" t="s">
        <v>63</v>
      </c>
      <c r="E51" s="205" t="s">
        <v>64</v>
      </c>
      <c r="F51" s="205" t="s">
        <v>65</v>
      </c>
      <c r="G51" s="205" t="s">
        <v>244</v>
      </c>
      <c r="H51" s="206" t="s">
        <v>13</v>
      </c>
      <c r="I51" s="255"/>
      <c r="J51" s="256"/>
      <c r="K51" s="256"/>
      <c r="L51" s="256"/>
      <c r="M51" s="256"/>
      <c r="N51" s="256"/>
      <c r="O51" s="28"/>
    </row>
    <row r="52" spans="1:16" ht="30.25" customHeight="1" x14ac:dyDescent="0.35">
      <c r="A52" s="218"/>
      <c r="B52" s="3" t="str">
        <f>IF($A52="","",(LOOKUP($A52,'STEP 2-WQv Calculation'!$A$8:$A$37,'STEP 2-WQv Calculation'!$B$8:$B$37)))</f>
        <v/>
      </c>
      <c r="C52" s="3" t="str">
        <f>IF($A52="","",(LOOKUP($A52,'STEP 2-WQv Calculation'!$A$8:$A$37,'STEP 2-WQv Calculation'!$C$8:$C$37)))</f>
        <v/>
      </c>
      <c r="D52" s="212" t="str">
        <f>IF($A52="","",(LOOKUP($A52,'STEP 2-WQv Calculation'!$A$8:$A$37,'STEP 2-WQv Calculation'!$D$8:$D$37)))</f>
        <v/>
      </c>
      <c r="E52" s="3" t="str">
        <f>IF($A52="","",(LOOKUP($A52,'STEP 2-WQv Calculation'!$A$8:$A$37,'STEP 2-WQv Calculation'!$E$37:$E56)))</f>
        <v/>
      </c>
      <c r="F52" s="217" t="str">
        <f>IF($A52="","",(LOOKUP($A52,'STEP 2-WQv Calculation'!$A$8:$A$37,'STEP 2-WQv Calculation'!$F$8:$F$37)))</f>
        <v/>
      </c>
      <c r="G52" s="22">
        <f>'STEP 2-WQv Calculation'!B5</f>
        <v>0</v>
      </c>
      <c r="H52" s="198" t="str">
        <f>IF($A52="","",(LOOKUP($A52,'STEP 2-WQv Calculation'!$A$8:$A$37,'STEP 2-WQv Calculation'!$G$8:$G$37)))</f>
        <v/>
      </c>
      <c r="I52" s="255"/>
      <c r="J52" s="256"/>
      <c r="K52" s="256"/>
      <c r="L52" s="256"/>
      <c r="M52" s="256"/>
      <c r="N52" s="256"/>
      <c r="O52" s="28"/>
    </row>
    <row r="53" spans="1:16" ht="15" customHeight="1" x14ac:dyDescent="0.35">
      <c r="A53" s="409" t="s">
        <v>226</v>
      </c>
      <c r="B53" s="410"/>
      <c r="C53" s="410"/>
      <c r="D53" s="410"/>
      <c r="E53" s="410"/>
      <c r="F53" s="410"/>
      <c r="G53" s="410"/>
      <c r="H53" s="411"/>
      <c r="I53" s="413"/>
      <c r="J53" s="414"/>
      <c r="K53" s="414"/>
      <c r="L53" s="414"/>
      <c r="M53" s="414"/>
      <c r="N53" s="414"/>
      <c r="O53" s="28"/>
    </row>
    <row r="54" spans="1:16" s="1" customFormat="1" ht="30" customHeight="1" x14ac:dyDescent="0.35">
      <c r="A54" s="242" t="s">
        <v>295</v>
      </c>
      <c r="B54" s="243"/>
      <c r="C54" s="244"/>
      <c r="D54" s="44"/>
      <c r="E54" s="322" t="str">
        <f>IF(D54="","",IF(D54&lt;0.5,"Does not meet design criteria",""))</f>
        <v/>
      </c>
      <c r="F54" s="323"/>
      <c r="G54" s="323"/>
      <c r="H54" s="324"/>
      <c r="I54" s="4"/>
    </row>
    <row r="55" spans="1:16" s="1" customFormat="1" ht="26.5" customHeight="1" x14ac:dyDescent="0.35">
      <c r="A55" s="242" t="s">
        <v>717</v>
      </c>
      <c r="B55" s="243"/>
      <c r="C55" s="244"/>
      <c r="D55" s="211"/>
      <c r="E55" s="322" t="str">
        <f>IF(D55="Yes","Two treatment practices in series required. Refer to Section 6.3.1","")</f>
        <v/>
      </c>
      <c r="F55" s="323"/>
      <c r="G55" s="323"/>
      <c r="H55" s="324"/>
      <c r="I55" s="4"/>
    </row>
    <row r="56" spans="1:16" s="1" customFormat="1" ht="26.5" customHeight="1" x14ac:dyDescent="0.35">
      <c r="A56" s="242" t="s">
        <v>718</v>
      </c>
      <c r="B56" s="243"/>
      <c r="C56" s="244"/>
      <c r="D56" s="211"/>
      <c r="E56" s="322" t="str">
        <f>IF(D56="","See Section 4.14 of the Design Manual",IF(D56="Yes","Does not meet design criteria",""))</f>
        <v>See Section 4.14 of the Design Manual</v>
      </c>
      <c r="F56" s="323"/>
      <c r="G56" s="323"/>
      <c r="H56" s="324"/>
      <c r="I56" s="4"/>
    </row>
    <row r="57" spans="1:16" s="1" customFormat="1" ht="25.15" customHeight="1" x14ac:dyDescent="0.35">
      <c r="A57" s="242" t="s">
        <v>541</v>
      </c>
      <c r="B57" s="243"/>
      <c r="C57" s="244"/>
      <c r="D57" s="135" t="str">
        <f>IF(B52="","",IF(B52&gt;10,"Yes","No"))</f>
        <v/>
      </c>
      <c r="E57" s="322" t="str">
        <f>IF(D57="","",IF(D57="Yes","Does not meet design criteria",""))</f>
        <v/>
      </c>
      <c r="F57" s="323"/>
      <c r="G57" s="323"/>
      <c r="H57" s="324"/>
      <c r="I57" s="4"/>
    </row>
    <row r="58" spans="1:16" s="1" customFormat="1" ht="25.15" customHeight="1" x14ac:dyDescent="0.35">
      <c r="A58" s="242" t="s">
        <v>703</v>
      </c>
      <c r="B58" s="406"/>
      <c r="C58" s="407"/>
      <c r="D58" s="43"/>
      <c r="E58" s="322"/>
      <c r="F58" s="406"/>
      <c r="G58" s="406"/>
      <c r="H58" s="407"/>
      <c r="I58" s="4"/>
    </row>
    <row r="59" spans="1:16" s="1" customFormat="1" ht="13.9" customHeight="1" x14ac:dyDescent="0.35">
      <c r="A59" s="242" t="s">
        <v>296</v>
      </c>
      <c r="B59" s="243"/>
      <c r="C59" s="244"/>
      <c r="D59" s="43"/>
      <c r="E59" s="322" t="str">
        <f>IF(OR(AND(D58="Yes",D59&lt;4),AND(D58="No",D59&lt;2)),"Does not meet design criteria","")</f>
        <v/>
      </c>
      <c r="F59" s="323"/>
      <c r="G59" s="323"/>
      <c r="H59" s="324"/>
      <c r="I59" s="4"/>
    </row>
    <row r="60" spans="1:16" s="1" customFormat="1" ht="13.9" customHeight="1" x14ac:dyDescent="0.35">
      <c r="A60" s="242" t="s">
        <v>297</v>
      </c>
      <c r="B60" s="243"/>
      <c r="C60" s="244"/>
      <c r="D60" s="43"/>
      <c r="E60" s="322" t="str">
        <f>IF(D60="","",IF(D60&lt;2,"Does not meet design criteria",""))</f>
        <v/>
      </c>
      <c r="F60" s="323"/>
      <c r="G60" s="323"/>
      <c r="H60" s="324"/>
      <c r="I60" s="4"/>
    </row>
    <row r="61" spans="1:16" s="1" customFormat="1" ht="13.9" customHeight="1" x14ac:dyDescent="0.35">
      <c r="A61" s="242" t="s">
        <v>507</v>
      </c>
      <c r="B61" s="243"/>
      <c r="C61" s="244"/>
      <c r="D61" s="43"/>
      <c r="E61" s="322" t="str">
        <f>IF(D61="","",IF(AND(D54&lt;=10,D61&lt;(F52*0.25)),"Does not meet design criteria",IF(AND(D54&gt;10,D61&lt;(F52*0.5)),"Does not meet design criteria","")))</f>
        <v/>
      </c>
      <c r="F61" s="323"/>
      <c r="G61" s="323"/>
      <c r="H61" s="324"/>
      <c r="I61" s="4"/>
    </row>
    <row r="62" spans="1:16" ht="13" x14ac:dyDescent="0.35">
      <c r="A62" s="409" t="s">
        <v>232</v>
      </c>
      <c r="B62" s="410"/>
      <c r="C62" s="410"/>
      <c r="D62" s="410"/>
      <c r="E62" s="410"/>
      <c r="F62" s="410"/>
      <c r="G62" s="410"/>
      <c r="H62" s="411"/>
    </row>
    <row r="63" spans="1:16" s="34" customFormat="1" ht="15" customHeight="1" x14ac:dyDescent="0.3">
      <c r="A63" s="378"/>
      <c r="B63" s="379"/>
      <c r="C63" s="380"/>
      <c r="D63" s="222" t="s">
        <v>256</v>
      </c>
      <c r="E63" s="208" t="s">
        <v>257</v>
      </c>
      <c r="F63" s="375" t="s">
        <v>258</v>
      </c>
      <c r="G63" s="376"/>
      <c r="H63" s="377"/>
      <c r="I63" s="4"/>
      <c r="J63" s="4"/>
      <c r="K63" s="4"/>
      <c r="L63" s="4"/>
      <c r="M63" s="4"/>
      <c r="N63" s="4"/>
      <c r="O63" s="4"/>
      <c r="P63" s="4"/>
    </row>
    <row r="64" spans="1:16" s="34" customFormat="1" ht="15" customHeight="1" x14ac:dyDescent="0.3">
      <c r="A64" s="289" t="s">
        <v>302</v>
      </c>
      <c r="B64" s="289"/>
      <c r="C64" s="198" t="s">
        <v>303</v>
      </c>
      <c r="D64" s="212" t="str">
        <f>F52</f>
        <v/>
      </c>
      <c r="E64" s="193" t="s">
        <v>2</v>
      </c>
      <c r="F64" s="344"/>
      <c r="G64" s="344"/>
      <c r="H64" s="344"/>
      <c r="I64" s="4"/>
      <c r="J64" s="4"/>
      <c r="K64" s="4"/>
      <c r="L64" s="4"/>
      <c r="M64" s="4"/>
      <c r="N64" s="4"/>
      <c r="O64" s="4"/>
      <c r="P64" s="4"/>
    </row>
    <row r="65" spans="1:16" s="34" customFormat="1" ht="15" customHeight="1" x14ac:dyDescent="0.3">
      <c r="A65" s="289" t="s">
        <v>542</v>
      </c>
      <c r="B65" s="289"/>
      <c r="C65" s="198" t="s">
        <v>523</v>
      </c>
      <c r="D65" s="155"/>
      <c r="E65" s="193" t="s">
        <v>271</v>
      </c>
      <c r="F65" s="344"/>
      <c r="G65" s="344"/>
      <c r="H65" s="344"/>
      <c r="I65" s="4"/>
      <c r="J65" s="4"/>
      <c r="K65" s="4"/>
      <c r="L65" s="4"/>
      <c r="M65" s="4"/>
      <c r="N65" s="4"/>
      <c r="O65" s="4"/>
      <c r="P65" s="4"/>
    </row>
    <row r="66" spans="1:16" s="34" customFormat="1" ht="15" customHeight="1" x14ac:dyDescent="0.3">
      <c r="A66" s="334" t="s">
        <v>513</v>
      </c>
      <c r="B66" s="334"/>
      <c r="C66" s="217" t="s">
        <v>524</v>
      </c>
      <c r="D66" s="217" t="e">
        <f>ROUND(D64/D65,0)</f>
        <v>#VALUE!</v>
      </c>
      <c r="E66" s="144" t="s">
        <v>316</v>
      </c>
      <c r="F66" s="387"/>
      <c r="G66" s="388"/>
      <c r="H66" s="389"/>
      <c r="I66" s="4"/>
      <c r="J66" s="4"/>
      <c r="K66" s="4"/>
      <c r="L66" s="4"/>
      <c r="M66" s="4"/>
      <c r="N66" s="4"/>
      <c r="O66" s="4"/>
      <c r="P66" s="4"/>
    </row>
    <row r="67" spans="1:16" s="34" customFormat="1" ht="15" customHeight="1" x14ac:dyDescent="0.3">
      <c r="A67" s="334" t="s">
        <v>515</v>
      </c>
      <c r="B67" s="334"/>
      <c r="C67" s="217" t="s">
        <v>524</v>
      </c>
      <c r="D67" s="218"/>
      <c r="E67" s="144" t="s">
        <v>316</v>
      </c>
      <c r="F67" s="387" t="str">
        <f>IF(D67="","",IF(D67&lt;D66,"Does not meet design criteria",IF(D67&lt;D65,"Does not meet design criteria","")))</f>
        <v/>
      </c>
      <c r="G67" s="388"/>
      <c r="H67" s="389"/>
      <c r="I67" s="4"/>
      <c r="J67" s="4"/>
      <c r="K67" s="4"/>
      <c r="L67" s="4"/>
      <c r="M67" s="4"/>
      <c r="N67" s="4"/>
      <c r="O67" s="4"/>
      <c r="P67" s="4"/>
    </row>
    <row r="68" spans="1:16" x14ac:dyDescent="0.35">
      <c r="A68" s="334" t="s">
        <v>543</v>
      </c>
      <c r="B68" s="334"/>
      <c r="C68" s="217" t="s">
        <v>536</v>
      </c>
      <c r="D68" s="43"/>
      <c r="E68" s="144" t="s">
        <v>2</v>
      </c>
      <c r="F68" s="387" t="s">
        <v>544</v>
      </c>
      <c r="G68" s="388"/>
      <c r="H68" s="389"/>
    </row>
    <row r="69" spans="1:16" ht="15" customHeight="1" x14ac:dyDescent="0.35">
      <c r="A69" s="289" t="s">
        <v>545</v>
      </c>
      <c r="B69" s="289"/>
      <c r="C69" s="198" t="s">
        <v>546</v>
      </c>
      <c r="D69" s="43"/>
      <c r="E69" s="193" t="s">
        <v>2</v>
      </c>
      <c r="F69" s="344" t="s">
        <v>547</v>
      </c>
      <c r="G69" s="344"/>
      <c r="H69" s="344"/>
    </row>
    <row r="70" spans="1:16" ht="30.65" customHeight="1" x14ac:dyDescent="0.35">
      <c r="A70" s="334" t="s">
        <v>540</v>
      </c>
      <c r="B70" s="334"/>
      <c r="C70" s="217" t="s">
        <v>303</v>
      </c>
      <c r="D70" s="198">
        <f>SUM(D68:D69)</f>
        <v>0</v>
      </c>
      <c r="E70" s="144" t="s">
        <v>2</v>
      </c>
      <c r="F70" s="387" t="str">
        <f>IF(D70=0,"",IF(D70&lt;F52,"Does not meet sizing criteria",""))</f>
        <v/>
      </c>
      <c r="G70" s="388"/>
      <c r="H70" s="389"/>
    </row>
    <row r="71" spans="1:16" ht="15" customHeight="1" x14ac:dyDescent="0.35">
      <c r="A71" s="412" t="s">
        <v>372</v>
      </c>
      <c r="B71" s="412"/>
      <c r="C71" s="412"/>
      <c r="D71" s="412"/>
      <c r="E71" s="412"/>
      <c r="F71" s="412"/>
      <c r="G71" s="412"/>
      <c r="H71" s="412"/>
    </row>
    <row r="72" spans="1:16" ht="15" customHeight="1" x14ac:dyDescent="0.35">
      <c r="A72" s="335" t="s">
        <v>241</v>
      </c>
      <c r="B72" s="335"/>
      <c r="C72" s="9" t="str">
        <f>IF(A52="","",IF(D56="Yes",0,IF(D54&lt;0.5,0,IF(D57="Yes",0,IF(D59&lt;2,0,IF(D60&lt;2,0,IF(AND(D54&lt;=10,D61&lt;(F52*0.25)),0,IF(AND(D54&gt;10,D61&lt;(F52*0.5)),0,IF(D70&lt;F52,0,F52*1)))))))))</f>
        <v/>
      </c>
      <c r="D72" s="339" t="s">
        <v>2</v>
      </c>
      <c r="E72" s="340"/>
      <c r="F72" s="340"/>
      <c r="G72" s="340"/>
      <c r="H72" s="341"/>
    </row>
    <row r="73" spans="1:16" ht="15" customHeight="1" x14ac:dyDescent="0.35">
      <c r="A73" s="16" t="s">
        <v>56</v>
      </c>
      <c r="B73" s="225" t="str">
        <f>IF('STEP 2-WQv Calculation'!$B$4="","",'STEP 2-WQv Calculation'!$B$4)</f>
        <v/>
      </c>
    </row>
    <row r="74" spans="1:16" ht="13" x14ac:dyDescent="0.35">
      <c r="A74" s="236" t="s">
        <v>293</v>
      </c>
      <c r="B74" s="237"/>
      <c r="C74" s="237"/>
      <c r="D74" s="237"/>
      <c r="E74" s="237"/>
      <c r="F74" s="237"/>
      <c r="G74" s="237"/>
      <c r="H74" s="238"/>
      <c r="I74" s="255"/>
      <c r="J74" s="256"/>
      <c r="K74" s="256"/>
      <c r="L74" s="256"/>
      <c r="M74" s="256"/>
      <c r="N74" s="256"/>
      <c r="O74" s="49"/>
    </row>
    <row r="75" spans="1:16" ht="46.75" customHeight="1" x14ac:dyDescent="0.35">
      <c r="A75" s="204" t="s">
        <v>60</v>
      </c>
      <c r="B75" s="205" t="s">
        <v>61</v>
      </c>
      <c r="C75" s="205" t="s">
        <v>62</v>
      </c>
      <c r="D75" s="205" t="s">
        <v>63</v>
      </c>
      <c r="E75" s="205" t="s">
        <v>64</v>
      </c>
      <c r="F75" s="205" t="s">
        <v>65</v>
      </c>
      <c r="G75" s="205" t="s">
        <v>244</v>
      </c>
      <c r="H75" s="206" t="s">
        <v>13</v>
      </c>
      <c r="I75" s="255"/>
      <c r="J75" s="256"/>
      <c r="K75" s="256"/>
      <c r="L75" s="256"/>
      <c r="M75" s="256"/>
      <c r="N75" s="256"/>
      <c r="O75" s="28"/>
    </row>
    <row r="76" spans="1:16" ht="30.25" customHeight="1" x14ac:dyDescent="0.35">
      <c r="A76" s="218"/>
      <c r="B76" s="3" t="str">
        <f>IF($A76="","",(LOOKUP($A76,'STEP 2-WQv Calculation'!$A$8:$A$37,'STEP 2-WQv Calculation'!$B$8:$B$37)))</f>
        <v/>
      </c>
      <c r="C76" s="3" t="str">
        <f>IF($A76="","",(LOOKUP($A76,'STEP 2-WQv Calculation'!$A$8:$A$37,'STEP 2-WQv Calculation'!$C$8:$C$37)))</f>
        <v/>
      </c>
      <c r="D76" s="212" t="str">
        <f>IF($A76="","",(LOOKUP($A76,'STEP 2-WQv Calculation'!$A$8:$A$37,'STEP 2-WQv Calculation'!$D$8:$D$37)))</f>
        <v/>
      </c>
      <c r="E76" s="3" t="str">
        <f>IF($A76="","",(LOOKUP($A76,'STEP 2-WQv Calculation'!$A$8:$A$37,'STEP 2-WQv Calculation'!$E$37:$E80)))</f>
        <v/>
      </c>
      <c r="F76" s="217" t="str">
        <f>IF($A76="","",(LOOKUP($A76,'STEP 2-WQv Calculation'!$A$8:$A$37,'STEP 2-WQv Calculation'!$F$8:$F$37)))</f>
        <v/>
      </c>
      <c r="G76" s="22">
        <f>'STEP 2-WQv Calculation'!B5</f>
        <v>0</v>
      </c>
      <c r="H76" s="198" t="str">
        <f>IF($A76="","",(LOOKUP($A76,'STEP 2-WQv Calculation'!$A$8:$A$37,'STEP 2-WQv Calculation'!$G$8:$G$37)))</f>
        <v/>
      </c>
      <c r="I76" s="255"/>
      <c r="J76" s="256"/>
      <c r="K76" s="256"/>
      <c r="L76" s="256"/>
      <c r="M76" s="256"/>
      <c r="N76" s="256"/>
      <c r="O76" s="28"/>
    </row>
    <row r="77" spans="1:16" ht="15" customHeight="1" x14ac:dyDescent="0.35">
      <c r="A77" s="409" t="s">
        <v>226</v>
      </c>
      <c r="B77" s="410"/>
      <c r="C77" s="410"/>
      <c r="D77" s="410"/>
      <c r="E77" s="410"/>
      <c r="F77" s="410"/>
      <c r="G77" s="410"/>
      <c r="H77" s="411"/>
      <c r="I77" s="413"/>
      <c r="J77" s="414"/>
      <c r="K77" s="414"/>
      <c r="L77" s="414"/>
      <c r="M77" s="414"/>
      <c r="N77" s="414"/>
      <c r="O77" s="28"/>
    </row>
    <row r="78" spans="1:16" s="1" customFormat="1" ht="30" customHeight="1" x14ac:dyDescent="0.35">
      <c r="A78" s="242" t="s">
        <v>295</v>
      </c>
      <c r="B78" s="243"/>
      <c r="C78" s="244"/>
      <c r="D78" s="44"/>
      <c r="E78" s="322" t="str">
        <f>IF(D78="","",IF(D78&lt;0.5,"Does not meet design criteria",""))</f>
        <v/>
      </c>
      <c r="F78" s="323"/>
      <c r="G78" s="323"/>
      <c r="H78" s="324"/>
      <c r="I78" s="4"/>
    </row>
    <row r="79" spans="1:16" s="1" customFormat="1" ht="26.5" customHeight="1" x14ac:dyDescent="0.35">
      <c r="A79" s="242" t="s">
        <v>717</v>
      </c>
      <c r="B79" s="243"/>
      <c r="C79" s="244"/>
      <c r="D79" s="211"/>
      <c r="E79" s="322" t="str">
        <f>IF(D79="Yes","Two treatment practices in series required. Refer to Section 6.3.1","")</f>
        <v/>
      </c>
      <c r="F79" s="323"/>
      <c r="G79" s="323"/>
      <c r="H79" s="324"/>
      <c r="I79" s="4"/>
    </row>
    <row r="80" spans="1:16" s="1" customFormat="1" ht="26.5" customHeight="1" x14ac:dyDescent="0.35">
      <c r="A80" s="242" t="s">
        <v>718</v>
      </c>
      <c r="B80" s="243"/>
      <c r="C80" s="244"/>
      <c r="D80" s="211"/>
      <c r="E80" s="322" t="str">
        <f>IF(D80="","See Section 4.14 of the Design Manual",IF(D80="Yes","Does not meet design criteria",""))</f>
        <v>See Section 4.14 of the Design Manual</v>
      </c>
      <c r="F80" s="323"/>
      <c r="G80" s="323"/>
      <c r="H80" s="324"/>
      <c r="I80" s="4"/>
    </row>
    <row r="81" spans="1:16" s="1" customFormat="1" ht="25.15" customHeight="1" x14ac:dyDescent="0.35">
      <c r="A81" s="242" t="s">
        <v>541</v>
      </c>
      <c r="B81" s="243"/>
      <c r="C81" s="244"/>
      <c r="D81" s="135" t="str">
        <f>IF(B76="","",IF(B76&gt;10,"Yes","No"))</f>
        <v/>
      </c>
      <c r="E81" s="322" t="str">
        <f>IF(D81="","",IF(D81="Yes","Does not meet design criteria",""))</f>
        <v/>
      </c>
      <c r="F81" s="323"/>
      <c r="G81" s="323"/>
      <c r="H81" s="324"/>
      <c r="I81" s="4"/>
    </row>
    <row r="82" spans="1:16" s="1" customFormat="1" ht="25.15" customHeight="1" x14ac:dyDescent="0.35">
      <c r="A82" s="242" t="s">
        <v>703</v>
      </c>
      <c r="B82" s="406"/>
      <c r="C82" s="407"/>
      <c r="D82" s="43"/>
      <c r="E82" s="322"/>
      <c r="F82" s="406"/>
      <c r="G82" s="406"/>
      <c r="H82" s="407"/>
      <c r="I82" s="4"/>
    </row>
    <row r="83" spans="1:16" s="1" customFormat="1" ht="13.9" customHeight="1" x14ac:dyDescent="0.35">
      <c r="A83" s="242" t="s">
        <v>296</v>
      </c>
      <c r="B83" s="243"/>
      <c r="C83" s="244"/>
      <c r="D83" s="43"/>
      <c r="E83" s="322" t="str">
        <f>IF(OR(AND(D82="Yes",D83&lt;4),AND(D82="No",D83&lt;2)),"Does not meet design criteria","")</f>
        <v/>
      </c>
      <c r="F83" s="323"/>
      <c r="G83" s="323"/>
      <c r="H83" s="324"/>
      <c r="I83" s="4"/>
    </row>
    <row r="84" spans="1:16" s="1" customFormat="1" ht="13.9" customHeight="1" x14ac:dyDescent="0.35">
      <c r="A84" s="242" t="s">
        <v>297</v>
      </c>
      <c r="B84" s="243"/>
      <c r="C84" s="244"/>
      <c r="D84" s="43"/>
      <c r="E84" s="322" t="str">
        <f>IF(D84="","",IF(D84&lt;2,"Does not meet design criteria",""))</f>
        <v/>
      </c>
      <c r="F84" s="323"/>
      <c r="G84" s="323"/>
      <c r="H84" s="324"/>
      <c r="I84" s="4"/>
    </row>
    <row r="85" spans="1:16" s="1" customFormat="1" ht="13.9" customHeight="1" x14ac:dyDescent="0.35">
      <c r="A85" s="242" t="s">
        <v>507</v>
      </c>
      <c r="B85" s="243"/>
      <c r="C85" s="244"/>
      <c r="D85" s="43"/>
      <c r="E85" s="322" t="str">
        <f>IF(D85="","",IF(AND(D78&lt;=10,D85&lt;(F76*0.25)),"Does not meet design criteria",IF(AND(D78&gt;10,D85&lt;(F76*0.5)),"Does not meet design criteria","")))</f>
        <v/>
      </c>
      <c r="F85" s="323"/>
      <c r="G85" s="323"/>
      <c r="H85" s="324"/>
      <c r="I85" s="4"/>
    </row>
    <row r="86" spans="1:16" ht="13" x14ac:dyDescent="0.35">
      <c r="A86" s="409" t="s">
        <v>232</v>
      </c>
      <c r="B86" s="410"/>
      <c r="C86" s="410"/>
      <c r="D86" s="410"/>
      <c r="E86" s="410"/>
      <c r="F86" s="410"/>
      <c r="G86" s="410"/>
      <c r="H86" s="411"/>
    </row>
    <row r="87" spans="1:16" s="34" customFormat="1" ht="15" customHeight="1" x14ac:dyDescent="0.3">
      <c r="A87" s="378"/>
      <c r="B87" s="379"/>
      <c r="C87" s="380"/>
      <c r="D87" s="222" t="s">
        <v>256</v>
      </c>
      <c r="E87" s="208" t="s">
        <v>257</v>
      </c>
      <c r="F87" s="375" t="s">
        <v>258</v>
      </c>
      <c r="G87" s="376"/>
      <c r="H87" s="377"/>
      <c r="I87" s="4"/>
      <c r="J87" s="4"/>
      <c r="K87" s="4"/>
      <c r="L87" s="4"/>
      <c r="M87" s="4"/>
      <c r="N87" s="4"/>
      <c r="O87" s="4"/>
      <c r="P87" s="4"/>
    </row>
    <row r="88" spans="1:16" s="34" customFormat="1" ht="15" customHeight="1" x14ac:dyDescent="0.3">
      <c r="A88" s="289" t="s">
        <v>302</v>
      </c>
      <c r="B88" s="289"/>
      <c r="C88" s="198" t="s">
        <v>303</v>
      </c>
      <c r="D88" s="212" t="str">
        <f>F76</f>
        <v/>
      </c>
      <c r="E88" s="193" t="s">
        <v>2</v>
      </c>
      <c r="F88" s="344"/>
      <c r="G88" s="344"/>
      <c r="H88" s="344"/>
      <c r="I88" s="4"/>
      <c r="J88" s="4"/>
      <c r="K88" s="4"/>
      <c r="L88" s="4"/>
      <c r="M88" s="4"/>
      <c r="N88" s="4"/>
      <c r="O88" s="4"/>
      <c r="P88" s="4"/>
    </row>
    <row r="89" spans="1:16" s="34" customFormat="1" ht="15" customHeight="1" x14ac:dyDescent="0.3">
      <c r="A89" s="289" t="s">
        <v>542</v>
      </c>
      <c r="B89" s="289"/>
      <c r="C89" s="198" t="s">
        <v>523</v>
      </c>
      <c r="D89" s="155"/>
      <c r="E89" s="193" t="s">
        <v>271</v>
      </c>
      <c r="F89" s="344"/>
      <c r="G89" s="344"/>
      <c r="H89" s="344"/>
      <c r="I89" s="4"/>
      <c r="J89" s="4"/>
      <c r="K89" s="4"/>
      <c r="L89" s="4"/>
      <c r="M89" s="4"/>
      <c r="N89" s="4"/>
      <c r="O89" s="4"/>
      <c r="P89" s="4"/>
    </row>
    <row r="90" spans="1:16" s="34" customFormat="1" ht="15" customHeight="1" x14ac:dyDescent="0.3">
      <c r="A90" s="334" t="s">
        <v>513</v>
      </c>
      <c r="B90" s="334"/>
      <c r="C90" s="217" t="s">
        <v>524</v>
      </c>
      <c r="D90" s="217" t="e">
        <f>ROUND(D88/D89,0)</f>
        <v>#VALUE!</v>
      </c>
      <c r="E90" s="144" t="s">
        <v>316</v>
      </c>
      <c r="F90" s="387"/>
      <c r="G90" s="388"/>
      <c r="H90" s="389"/>
      <c r="I90" s="4"/>
      <c r="J90" s="4"/>
      <c r="K90" s="4"/>
      <c r="L90" s="4"/>
      <c r="M90" s="4"/>
      <c r="N90" s="4"/>
      <c r="O90" s="4"/>
      <c r="P90" s="4"/>
    </row>
    <row r="91" spans="1:16" s="34" customFormat="1" ht="15" customHeight="1" x14ac:dyDescent="0.3">
      <c r="A91" s="334" t="s">
        <v>515</v>
      </c>
      <c r="B91" s="334"/>
      <c r="C91" s="217" t="s">
        <v>524</v>
      </c>
      <c r="D91" s="218"/>
      <c r="E91" s="144" t="s">
        <v>316</v>
      </c>
      <c r="F91" s="387" t="str">
        <f>IF(D91="","",IF(D91&lt;D90,"Does not meet design criteria",IF(D91&lt;D89,"Does not meet design criteria","")))</f>
        <v/>
      </c>
      <c r="G91" s="388"/>
      <c r="H91" s="389"/>
      <c r="I91" s="4"/>
      <c r="J91" s="4"/>
      <c r="K91" s="4"/>
      <c r="L91" s="4"/>
      <c r="M91" s="4"/>
      <c r="N91" s="4"/>
      <c r="O91" s="4"/>
      <c r="P91" s="4"/>
    </row>
    <row r="92" spans="1:16" x14ac:dyDescent="0.35">
      <c r="A92" s="334" t="s">
        <v>543</v>
      </c>
      <c r="B92" s="334"/>
      <c r="C92" s="217" t="s">
        <v>536</v>
      </c>
      <c r="D92" s="43"/>
      <c r="E92" s="144" t="s">
        <v>2</v>
      </c>
      <c r="F92" s="387" t="s">
        <v>544</v>
      </c>
      <c r="G92" s="388"/>
      <c r="H92" s="389"/>
    </row>
    <row r="93" spans="1:16" ht="15" customHeight="1" x14ac:dyDescent="0.35">
      <c r="A93" s="289" t="s">
        <v>545</v>
      </c>
      <c r="B93" s="289"/>
      <c r="C93" s="198" t="s">
        <v>546</v>
      </c>
      <c r="D93" s="43"/>
      <c r="E93" s="193" t="s">
        <v>2</v>
      </c>
      <c r="F93" s="344" t="s">
        <v>547</v>
      </c>
      <c r="G93" s="344"/>
      <c r="H93" s="344"/>
    </row>
    <row r="94" spans="1:16" ht="30.65" customHeight="1" x14ac:dyDescent="0.35">
      <c r="A94" s="334" t="s">
        <v>540</v>
      </c>
      <c r="B94" s="334"/>
      <c r="C94" s="217" t="s">
        <v>303</v>
      </c>
      <c r="D94" s="198">
        <f>SUM(D92:D93)</f>
        <v>0</v>
      </c>
      <c r="E94" s="144" t="s">
        <v>2</v>
      </c>
      <c r="F94" s="387" t="str">
        <f>IF(D94=0,"",IF(D94&lt;F76,"Does not meet sizing criteria",""))</f>
        <v/>
      </c>
      <c r="G94" s="388"/>
      <c r="H94" s="389"/>
    </row>
    <row r="95" spans="1:16" ht="15" customHeight="1" x14ac:dyDescent="0.35">
      <c r="A95" s="412" t="s">
        <v>372</v>
      </c>
      <c r="B95" s="412"/>
      <c r="C95" s="412"/>
      <c r="D95" s="412"/>
      <c r="E95" s="412"/>
      <c r="F95" s="412"/>
      <c r="G95" s="412"/>
      <c r="H95" s="412"/>
    </row>
    <row r="96" spans="1:16" ht="15" customHeight="1" x14ac:dyDescent="0.35">
      <c r="A96" s="335" t="s">
        <v>241</v>
      </c>
      <c r="B96" s="335"/>
      <c r="C96" s="9" t="str">
        <f>IF(A76="","",IF(D80="Yes",0,IF(D78&lt;0.5,0,IF(D81="Yes",0,IF(D83&lt;2,0,IF(D84&lt;2,0,IF(AND(D78&lt;=10,D85&lt;(F76*0.25)),0,IF(AND(D78&gt;10,D85&lt;(F76*0.5)),0,IF(D94&lt;F76,0,F76*1)))))))))</f>
        <v/>
      </c>
      <c r="D96" s="339" t="s">
        <v>2</v>
      </c>
      <c r="E96" s="340"/>
      <c r="F96" s="340"/>
      <c r="G96" s="340"/>
      <c r="H96" s="341"/>
    </row>
    <row r="97" spans="1:16" ht="15" customHeight="1" x14ac:dyDescent="0.35">
      <c r="A97" s="16" t="s">
        <v>56</v>
      </c>
      <c r="B97" s="225" t="str">
        <f>IF('STEP 2-WQv Calculation'!$B$4="","",'STEP 2-WQv Calculation'!$B$4)</f>
        <v/>
      </c>
    </row>
    <row r="98" spans="1:16" ht="13" x14ac:dyDescent="0.35">
      <c r="A98" s="236" t="s">
        <v>293</v>
      </c>
      <c r="B98" s="237"/>
      <c r="C98" s="237"/>
      <c r="D98" s="237"/>
      <c r="E98" s="237"/>
      <c r="F98" s="237"/>
      <c r="G98" s="237"/>
      <c r="H98" s="238"/>
      <c r="I98" s="255"/>
      <c r="J98" s="256"/>
      <c r="K98" s="256"/>
      <c r="L98" s="256"/>
      <c r="M98" s="256"/>
      <c r="N98" s="256"/>
      <c r="O98" s="49"/>
    </row>
    <row r="99" spans="1:16" ht="46.75" customHeight="1" x14ac:dyDescent="0.35">
      <c r="A99" s="204" t="s">
        <v>60</v>
      </c>
      <c r="B99" s="205" t="s">
        <v>61</v>
      </c>
      <c r="C99" s="205" t="s">
        <v>62</v>
      </c>
      <c r="D99" s="205" t="s">
        <v>63</v>
      </c>
      <c r="E99" s="205" t="s">
        <v>64</v>
      </c>
      <c r="F99" s="205" t="s">
        <v>65</v>
      </c>
      <c r="G99" s="205" t="s">
        <v>244</v>
      </c>
      <c r="H99" s="206" t="s">
        <v>13</v>
      </c>
      <c r="I99" s="255"/>
      <c r="J99" s="256"/>
      <c r="K99" s="256"/>
      <c r="L99" s="256"/>
      <c r="M99" s="256"/>
      <c r="N99" s="256"/>
      <c r="O99" s="28"/>
    </row>
    <row r="100" spans="1:16" ht="30.25" customHeight="1" x14ac:dyDescent="0.35">
      <c r="A100" s="218"/>
      <c r="B100" s="3" t="str">
        <f>IF($A100="","",(LOOKUP($A100,'STEP 2-WQv Calculation'!$A$8:$A$37,'STEP 2-WQv Calculation'!$B$8:$B$37)))</f>
        <v/>
      </c>
      <c r="C100" s="3" t="str">
        <f>IF($A100="","",(LOOKUP($A100,'STEP 2-WQv Calculation'!$A$8:$A$37,'STEP 2-WQv Calculation'!$C$8:$C$37)))</f>
        <v/>
      </c>
      <c r="D100" s="212" t="str">
        <f>IF($A100="","",(LOOKUP($A100,'STEP 2-WQv Calculation'!$A$8:$A$37,'STEP 2-WQv Calculation'!$D$8:$D$37)))</f>
        <v/>
      </c>
      <c r="E100" s="3" t="str">
        <f>IF($A100="","",(LOOKUP($A100,'STEP 2-WQv Calculation'!$A$8:$A$37,'STEP 2-WQv Calculation'!$E$37:$E104)))</f>
        <v/>
      </c>
      <c r="F100" s="217" t="str">
        <f>IF($A100="","",(LOOKUP($A100,'STEP 2-WQv Calculation'!$A$8:$A$37,'STEP 2-WQv Calculation'!$F$8:$F$37)))</f>
        <v/>
      </c>
      <c r="G100" s="22">
        <f>'STEP 2-WQv Calculation'!B5</f>
        <v>0</v>
      </c>
      <c r="H100" s="198" t="str">
        <f>IF($A100="","",(LOOKUP($A100,'STEP 2-WQv Calculation'!$A$8:$A$37,'STEP 2-WQv Calculation'!$G$8:$G$37)))</f>
        <v/>
      </c>
      <c r="I100" s="255"/>
      <c r="J100" s="256"/>
      <c r="K100" s="256"/>
      <c r="L100" s="256"/>
      <c r="M100" s="256"/>
      <c r="N100" s="256"/>
      <c r="O100" s="28"/>
    </row>
    <row r="101" spans="1:16" ht="15" customHeight="1" x14ac:dyDescent="0.35">
      <c r="A101" s="409" t="s">
        <v>226</v>
      </c>
      <c r="B101" s="410"/>
      <c r="C101" s="410"/>
      <c r="D101" s="410"/>
      <c r="E101" s="410"/>
      <c r="F101" s="410"/>
      <c r="G101" s="410"/>
      <c r="H101" s="411"/>
      <c r="I101" s="413"/>
      <c r="J101" s="414"/>
      <c r="K101" s="414"/>
      <c r="L101" s="414"/>
      <c r="M101" s="414"/>
      <c r="N101" s="414"/>
      <c r="O101" s="28"/>
    </row>
    <row r="102" spans="1:16" s="1" customFormat="1" ht="30" customHeight="1" x14ac:dyDescent="0.35">
      <c r="A102" s="242" t="s">
        <v>295</v>
      </c>
      <c r="B102" s="243"/>
      <c r="C102" s="244"/>
      <c r="D102" s="44"/>
      <c r="E102" s="322" t="str">
        <f>IF(D102="","",IF(D102&lt;0.5,"Does not meet design criteria",""))</f>
        <v/>
      </c>
      <c r="F102" s="323"/>
      <c r="G102" s="323"/>
      <c r="H102" s="324"/>
      <c r="I102" s="4"/>
    </row>
    <row r="103" spans="1:16" s="1" customFormat="1" ht="26.5" customHeight="1" x14ac:dyDescent="0.35">
      <c r="A103" s="242" t="s">
        <v>717</v>
      </c>
      <c r="B103" s="243"/>
      <c r="C103" s="244"/>
      <c r="D103" s="211"/>
      <c r="E103" s="322" t="str">
        <f>IF(D103="Yes","Two treatment practices in series required. Refer to Section 6.3.1","")</f>
        <v/>
      </c>
      <c r="F103" s="323"/>
      <c r="G103" s="323"/>
      <c r="H103" s="324"/>
      <c r="I103" s="4"/>
    </row>
    <row r="104" spans="1:16" s="1" customFormat="1" ht="26.5" customHeight="1" x14ac:dyDescent="0.35">
      <c r="A104" s="242" t="s">
        <v>718</v>
      </c>
      <c r="B104" s="243"/>
      <c r="C104" s="244"/>
      <c r="D104" s="211"/>
      <c r="E104" s="322" t="str">
        <f>IF(D104="","See Section 4.14 of the Design Manual",IF(D104="Yes","Does not meet design criteria",""))</f>
        <v>See Section 4.14 of the Design Manual</v>
      </c>
      <c r="F104" s="323"/>
      <c r="G104" s="323"/>
      <c r="H104" s="324"/>
      <c r="I104" s="4"/>
    </row>
    <row r="105" spans="1:16" s="1" customFormat="1" ht="25.15" customHeight="1" x14ac:dyDescent="0.35">
      <c r="A105" s="242" t="s">
        <v>541</v>
      </c>
      <c r="B105" s="243"/>
      <c r="C105" s="244"/>
      <c r="D105" s="135" t="str">
        <f>IF(B100="","",IF(B100&gt;10,"Yes","No"))</f>
        <v/>
      </c>
      <c r="E105" s="322" t="str">
        <f>IF(D105="","",IF(D105="Yes","Does not meet design criteria",""))</f>
        <v/>
      </c>
      <c r="F105" s="323"/>
      <c r="G105" s="323"/>
      <c r="H105" s="324"/>
      <c r="I105" s="4"/>
    </row>
    <row r="106" spans="1:16" s="1" customFormat="1" ht="25.15" customHeight="1" x14ac:dyDescent="0.35">
      <c r="A106" s="242" t="s">
        <v>703</v>
      </c>
      <c r="B106" s="406"/>
      <c r="C106" s="407"/>
      <c r="D106" s="43"/>
      <c r="E106" s="322"/>
      <c r="F106" s="406"/>
      <c r="G106" s="406"/>
      <c r="H106" s="407"/>
      <c r="I106" s="4"/>
    </row>
    <row r="107" spans="1:16" s="1" customFormat="1" ht="13.9" customHeight="1" x14ac:dyDescent="0.35">
      <c r="A107" s="242" t="s">
        <v>296</v>
      </c>
      <c r="B107" s="243"/>
      <c r="C107" s="244"/>
      <c r="D107" s="43"/>
      <c r="E107" s="322" t="str">
        <f>IF(OR(AND(D106="Yes",D107&lt;4),AND(D106="No",D107&lt;2)),"Does not meet design criteria","")</f>
        <v/>
      </c>
      <c r="F107" s="323"/>
      <c r="G107" s="323"/>
      <c r="H107" s="324"/>
      <c r="I107" s="4"/>
    </row>
    <row r="108" spans="1:16" s="1" customFormat="1" ht="13.9" customHeight="1" x14ac:dyDescent="0.35">
      <c r="A108" s="242" t="s">
        <v>297</v>
      </c>
      <c r="B108" s="243"/>
      <c r="C108" s="244"/>
      <c r="D108" s="43"/>
      <c r="E108" s="322" t="str">
        <f>IF(D108="","",IF(D108&lt;2,"Does not meet design criteria",""))</f>
        <v/>
      </c>
      <c r="F108" s="323"/>
      <c r="G108" s="323"/>
      <c r="H108" s="324"/>
      <c r="I108" s="4"/>
    </row>
    <row r="109" spans="1:16" s="1" customFormat="1" ht="13.9" customHeight="1" x14ac:dyDescent="0.35">
      <c r="A109" s="242" t="s">
        <v>507</v>
      </c>
      <c r="B109" s="243"/>
      <c r="C109" s="244"/>
      <c r="D109" s="43"/>
      <c r="E109" s="322" t="str">
        <f>IF(D109="","",IF(AND(D102&lt;=10,D109&lt;(F100*0.25)),"Does not meet design criteria",IF(AND(D102&gt;10,D109&lt;(F100*0.5)),"Does not meet design criteria","")))</f>
        <v/>
      </c>
      <c r="F109" s="323"/>
      <c r="G109" s="323"/>
      <c r="H109" s="324"/>
      <c r="I109" s="4"/>
    </row>
    <row r="110" spans="1:16" ht="13" x14ac:dyDescent="0.35">
      <c r="A110" s="409" t="s">
        <v>232</v>
      </c>
      <c r="B110" s="410"/>
      <c r="C110" s="410"/>
      <c r="D110" s="410"/>
      <c r="E110" s="410"/>
      <c r="F110" s="410"/>
      <c r="G110" s="410"/>
      <c r="H110" s="411"/>
    </row>
    <row r="111" spans="1:16" s="34" customFormat="1" ht="15" customHeight="1" x14ac:dyDescent="0.3">
      <c r="A111" s="378"/>
      <c r="B111" s="379"/>
      <c r="C111" s="380"/>
      <c r="D111" s="222" t="s">
        <v>256</v>
      </c>
      <c r="E111" s="208" t="s">
        <v>257</v>
      </c>
      <c r="F111" s="375" t="s">
        <v>258</v>
      </c>
      <c r="G111" s="376"/>
      <c r="H111" s="377"/>
      <c r="I111" s="4"/>
      <c r="J111" s="4"/>
      <c r="K111" s="4"/>
      <c r="L111" s="4"/>
      <c r="M111" s="4"/>
      <c r="N111" s="4"/>
      <c r="O111" s="4"/>
      <c r="P111" s="4"/>
    </row>
    <row r="112" spans="1:16" s="34" customFormat="1" ht="15" customHeight="1" x14ac:dyDescent="0.3">
      <c r="A112" s="289" t="s">
        <v>302</v>
      </c>
      <c r="B112" s="289"/>
      <c r="C112" s="198" t="s">
        <v>303</v>
      </c>
      <c r="D112" s="212" t="str">
        <f>F100</f>
        <v/>
      </c>
      <c r="E112" s="193" t="s">
        <v>2</v>
      </c>
      <c r="F112" s="344"/>
      <c r="G112" s="344"/>
      <c r="H112" s="344"/>
      <c r="I112" s="4"/>
      <c r="J112" s="4"/>
      <c r="K112" s="4"/>
      <c r="L112" s="4"/>
      <c r="M112" s="4"/>
      <c r="N112" s="4"/>
      <c r="O112" s="4"/>
      <c r="P112" s="4"/>
    </row>
    <row r="113" spans="1:16" s="34" customFormat="1" ht="15" customHeight="1" x14ac:dyDescent="0.3">
      <c r="A113" s="289" t="s">
        <v>542</v>
      </c>
      <c r="B113" s="289"/>
      <c r="C113" s="198" t="s">
        <v>523</v>
      </c>
      <c r="D113" s="155"/>
      <c r="E113" s="193" t="s">
        <v>271</v>
      </c>
      <c r="F113" s="344"/>
      <c r="G113" s="344"/>
      <c r="H113" s="344"/>
      <c r="I113" s="4"/>
      <c r="J113" s="4"/>
      <c r="K113" s="4"/>
      <c r="L113" s="4"/>
      <c r="M113" s="4"/>
      <c r="N113" s="4"/>
      <c r="O113" s="4"/>
      <c r="P113" s="4"/>
    </row>
    <row r="114" spans="1:16" s="34" customFormat="1" ht="15" customHeight="1" x14ac:dyDescent="0.3">
      <c r="A114" s="334" t="s">
        <v>513</v>
      </c>
      <c r="B114" s="334"/>
      <c r="C114" s="217" t="s">
        <v>524</v>
      </c>
      <c r="D114" s="217" t="e">
        <f>ROUND(D112/D113,0)</f>
        <v>#VALUE!</v>
      </c>
      <c r="E114" s="144" t="s">
        <v>316</v>
      </c>
      <c r="F114" s="387"/>
      <c r="G114" s="388"/>
      <c r="H114" s="389"/>
      <c r="I114" s="4"/>
      <c r="J114" s="4"/>
      <c r="K114" s="4"/>
      <c r="L114" s="4"/>
      <c r="M114" s="4"/>
      <c r="N114" s="4"/>
      <c r="O114" s="4"/>
      <c r="P114" s="4"/>
    </row>
    <row r="115" spans="1:16" s="34" customFormat="1" ht="15" customHeight="1" x14ac:dyDescent="0.3">
      <c r="A115" s="334" t="s">
        <v>515</v>
      </c>
      <c r="B115" s="334"/>
      <c r="C115" s="217" t="s">
        <v>524</v>
      </c>
      <c r="D115" s="218"/>
      <c r="E115" s="144" t="s">
        <v>316</v>
      </c>
      <c r="F115" s="387" t="str">
        <f>IF(D115="","",IF(D115&lt;D114,"Does not meet design criteria",IF(D115&lt;D113,"Does not meet design criteria","")))</f>
        <v/>
      </c>
      <c r="G115" s="388"/>
      <c r="H115" s="389"/>
      <c r="I115" s="4"/>
      <c r="J115" s="4"/>
      <c r="K115" s="4"/>
      <c r="L115" s="4"/>
      <c r="M115" s="4"/>
      <c r="N115" s="4"/>
      <c r="O115" s="4"/>
      <c r="P115" s="4"/>
    </row>
    <row r="116" spans="1:16" x14ac:dyDescent="0.35">
      <c r="A116" s="334" t="s">
        <v>543</v>
      </c>
      <c r="B116" s="334"/>
      <c r="C116" s="217" t="s">
        <v>536</v>
      </c>
      <c r="D116" s="43"/>
      <c r="E116" s="144" t="s">
        <v>2</v>
      </c>
      <c r="F116" s="387" t="s">
        <v>544</v>
      </c>
      <c r="G116" s="388"/>
      <c r="H116" s="389"/>
    </row>
    <row r="117" spans="1:16" ht="15" customHeight="1" x14ac:dyDescent="0.35">
      <c r="A117" s="289" t="s">
        <v>545</v>
      </c>
      <c r="B117" s="289"/>
      <c r="C117" s="198" t="s">
        <v>546</v>
      </c>
      <c r="D117" s="43"/>
      <c r="E117" s="193" t="s">
        <v>2</v>
      </c>
      <c r="F117" s="344" t="s">
        <v>547</v>
      </c>
      <c r="G117" s="344"/>
      <c r="H117" s="344"/>
    </row>
    <row r="118" spans="1:16" ht="30.65" customHeight="1" x14ac:dyDescent="0.35">
      <c r="A118" s="334" t="s">
        <v>540</v>
      </c>
      <c r="B118" s="334"/>
      <c r="C118" s="217" t="s">
        <v>303</v>
      </c>
      <c r="D118" s="198">
        <f>SUM(D116:D117)</f>
        <v>0</v>
      </c>
      <c r="E118" s="144" t="s">
        <v>2</v>
      </c>
      <c r="F118" s="387" t="str">
        <f>IF(D118=0,"",IF(D118&lt;F100,"Does not meet sizing criteria",""))</f>
        <v/>
      </c>
      <c r="G118" s="388"/>
      <c r="H118" s="389"/>
    </row>
    <row r="119" spans="1:16" ht="15" customHeight="1" x14ac:dyDescent="0.35">
      <c r="A119" s="412" t="s">
        <v>372</v>
      </c>
      <c r="B119" s="412"/>
      <c r="C119" s="412"/>
      <c r="D119" s="412"/>
      <c r="E119" s="412"/>
      <c r="F119" s="412"/>
      <c r="G119" s="412"/>
      <c r="H119" s="412"/>
    </row>
    <row r="120" spans="1:16" ht="15" customHeight="1" x14ac:dyDescent="0.35">
      <c r="A120" s="335" t="s">
        <v>241</v>
      </c>
      <c r="B120" s="335"/>
      <c r="C120" s="9" t="str">
        <f>IF(A100="","",IF(D104="Yes",0,IF(D102&lt;0.5,0,IF(D105="Yes",0,IF(D107&lt;2,0,IF(D108&lt;2,0,IF(AND(D102&lt;=10,D109&lt;(F100*0.25)),0,IF(AND(D102&gt;10,D109&lt;(F100*0.5)),0,IF(D118&lt;F100,0,F100*1)))))))))</f>
        <v/>
      </c>
      <c r="D120" s="339" t="s">
        <v>2</v>
      </c>
      <c r="E120" s="340"/>
      <c r="F120" s="340"/>
      <c r="G120" s="340"/>
      <c r="H120" s="341"/>
    </row>
    <row r="121" spans="1:16" ht="13" x14ac:dyDescent="0.35">
      <c r="A121" s="16" t="s">
        <v>56</v>
      </c>
      <c r="B121" s="225" t="str">
        <f>IF('STEP 2-WQv Calculation'!$B$4="","",'STEP 2-WQv Calculation'!$B$4)</f>
        <v/>
      </c>
    </row>
    <row r="122" spans="1:16" ht="13" x14ac:dyDescent="0.35">
      <c r="A122" s="236" t="s">
        <v>293</v>
      </c>
      <c r="B122" s="237"/>
      <c r="C122" s="237"/>
      <c r="D122" s="237"/>
      <c r="E122" s="237"/>
      <c r="F122" s="237"/>
      <c r="G122" s="237"/>
      <c r="H122" s="238"/>
    </row>
    <row r="123" spans="1:16" ht="38.5" x14ac:dyDescent="0.35">
      <c r="A123" s="204" t="s">
        <v>60</v>
      </c>
      <c r="B123" s="205" t="s">
        <v>61</v>
      </c>
      <c r="C123" s="205" t="s">
        <v>62</v>
      </c>
      <c r="D123" s="205" t="s">
        <v>63</v>
      </c>
      <c r="E123" s="205" t="s">
        <v>64</v>
      </c>
      <c r="F123" s="205" t="s">
        <v>65</v>
      </c>
      <c r="G123" s="205" t="s">
        <v>244</v>
      </c>
      <c r="H123" s="206" t="s">
        <v>13</v>
      </c>
    </row>
    <row r="124" spans="1:16" x14ac:dyDescent="0.35">
      <c r="A124" s="218"/>
      <c r="B124" s="3" t="str">
        <f>IF($A124="","",(LOOKUP($A124,'STEP 2-WQv Calculation'!$A$8:$A$37,'STEP 2-WQv Calculation'!$B$8:$B$37)))</f>
        <v/>
      </c>
      <c r="C124" s="3" t="str">
        <f>IF($A124="","",(LOOKUP($A124,'STEP 2-WQv Calculation'!$A$8:$A$37,'STEP 2-WQv Calculation'!$C$8:$C$37)))</f>
        <v/>
      </c>
      <c r="D124" s="212" t="str">
        <f>IF($A124="","",(LOOKUP($A124,'STEP 2-WQv Calculation'!$A$8:$A$37,'STEP 2-WQv Calculation'!$D$8:$D$37)))</f>
        <v/>
      </c>
      <c r="E124" s="3" t="str">
        <f>IF($A124="","",(LOOKUP($A124,'STEP 2-WQv Calculation'!$A$8:$A$37,'STEP 2-WQv Calculation'!$E$37:$E128)))</f>
        <v/>
      </c>
      <c r="F124" s="217" t="str">
        <f>IF($A124="","",(LOOKUP($A124,'STEP 2-WQv Calculation'!$A$8:$A$37,'STEP 2-WQv Calculation'!$F$8:$F$37)))</f>
        <v/>
      </c>
      <c r="G124" s="22">
        <f>'STEP 2-WQv Calculation'!B29</f>
        <v>0</v>
      </c>
      <c r="H124" s="198" t="str">
        <f>IF($A124="","",(LOOKUP($A124,'STEP 2-WQv Calculation'!$A$8:$A$37,'STEP 2-WQv Calculation'!$G$8:$G$37)))</f>
        <v/>
      </c>
    </row>
    <row r="125" spans="1:16" ht="13" x14ac:dyDescent="0.35">
      <c r="A125" s="409" t="s">
        <v>226</v>
      </c>
      <c r="B125" s="410"/>
      <c r="C125" s="410"/>
      <c r="D125" s="410"/>
      <c r="E125" s="410"/>
      <c r="F125" s="410"/>
      <c r="G125" s="410"/>
      <c r="H125" s="411"/>
    </row>
    <row r="126" spans="1:16" ht="23.15" customHeight="1" x14ac:dyDescent="0.35">
      <c r="A126" s="242" t="s">
        <v>295</v>
      </c>
      <c r="B126" s="243"/>
      <c r="C126" s="244"/>
      <c r="D126" s="44"/>
      <c r="E126" s="322" t="str">
        <f>IF(D126="","",IF(D126&lt;0.5,"Does not meet design criteria",""))</f>
        <v/>
      </c>
      <c r="F126" s="323"/>
      <c r="G126" s="323"/>
      <c r="H126" s="324"/>
    </row>
    <row r="127" spans="1:16" ht="23.15" customHeight="1" x14ac:dyDescent="0.35">
      <c r="A127" s="242" t="s">
        <v>717</v>
      </c>
      <c r="B127" s="243"/>
      <c r="C127" s="244"/>
      <c r="D127" s="211"/>
      <c r="E127" s="322" t="str">
        <f>IF(D127="Yes","Two treatment practices in series required. Refer to Section 6.3.1","")</f>
        <v/>
      </c>
      <c r="F127" s="323"/>
      <c r="G127" s="323"/>
      <c r="H127" s="324"/>
    </row>
    <row r="128" spans="1:16" ht="23.15" customHeight="1" x14ac:dyDescent="0.35">
      <c r="A128" s="242" t="s">
        <v>718</v>
      </c>
      <c r="B128" s="243"/>
      <c r="C128" s="244"/>
      <c r="D128" s="211"/>
      <c r="E128" s="322" t="str">
        <f>IF(D128="","See Section 4.14 of the Design Manual",IF(D128="Yes","Does not meet design criteria",""))</f>
        <v>See Section 4.14 of the Design Manual</v>
      </c>
      <c r="F128" s="323"/>
      <c r="G128" s="323"/>
      <c r="H128" s="324"/>
    </row>
    <row r="129" spans="1:8" ht="23.15" customHeight="1" x14ac:dyDescent="0.35">
      <c r="A129" s="242" t="s">
        <v>541</v>
      </c>
      <c r="B129" s="243"/>
      <c r="C129" s="244"/>
      <c r="D129" s="135" t="str">
        <f>IF(B124="","",IF(B124&gt;10,"Yes","No"))</f>
        <v/>
      </c>
      <c r="E129" s="322" t="str">
        <f>IF(D129="","",IF(D129="Yes","Does not meet design criteria",""))</f>
        <v/>
      </c>
      <c r="F129" s="323"/>
      <c r="G129" s="323"/>
      <c r="H129" s="324"/>
    </row>
    <row r="130" spans="1:8" ht="23.15" customHeight="1" x14ac:dyDescent="0.35">
      <c r="A130" s="242" t="s">
        <v>703</v>
      </c>
      <c r="B130" s="406"/>
      <c r="C130" s="407"/>
      <c r="D130" s="43"/>
      <c r="E130" s="322"/>
      <c r="F130" s="406"/>
      <c r="G130" s="406"/>
      <c r="H130" s="407"/>
    </row>
    <row r="131" spans="1:8" ht="23.15" customHeight="1" x14ac:dyDescent="0.35">
      <c r="A131" s="242" t="s">
        <v>296</v>
      </c>
      <c r="B131" s="243"/>
      <c r="C131" s="244"/>
      <c r="D131" s="43"/>
      <c r="E131" s="322" t="str">
        <f>IF(OR(AND(D130="Yes",D131&lt;4),AND(D130="No",D131&lt;2)),"Does not meet design criteria","")</f>
        <v/>
      </c>
      <c r="F131" s="323"/>
      <c r="G131" s="323"/>
      <c r="H131" s="324"/>
    </row>
    <row r="132" spans="1:8" ht="23.15" customHeight="1" x14ac:dyDescent="0.35">
      <c r="A132" s="242" t="s">
        <v>297</v>
      </c>
      <c r="B132" s="243"/>
      <c r="C132" s="244"/>
      <c r="D132" s="43"/>
      <c r="E132" s="322" t="str">
        <f>IF(D132="","",IF(D132&lt;2,"Does not meet design criteria",""))</f>
        <v/>
      </c>
      <c r="F132" s="323"/>
      <c r="G132" s="323"/>
      <c r="H132" s="324"/>
    </row>
    <row r="133" spans="1:8" ht="23.15" customHeight="1" x14ac:dyDescent="0.35">
      <c r="A133" s="242" t="s">
        <v>507</v>
      </c>
      <c r="B133" s="243"/>
      <c r="C133" s="244"/>
      <c r="D133" s="43"/>
      <c r="E133" s="322" t="str">
        <f>IF(D133="","",IF(AND(D126&lt;=10,D133&lt;(F124*0.25)),"Does not meet design criteria",IF(AND(D126&gt;10,D133&lt;(F124*0.5)),"Does not meet design criteria","")))</f>
        <v/>
      </c>
      <c r="F133" s="323"/>
      <c r="G133" s="323"/>
      <c r="H133" s="324"/>
    </row>
    <row r="134" spans="1:8" ht="13" x14ac:dyDescent="0.35">
      <c r="A134" s="409" t="s">
        <v>232</v>
      </c>
      <c r="B134" s="410"/>
      <c r="C134" s="410"/>
      <c r="D134" s="410"/>
      <c r="E134" s="410"/>
      <c r="F134" s="410"/>
      <c r="G134" s="410"/>
      <c r="H134" s="411"/>
    </row>
    <row r="135" spans="1:8" x14ac:dyDescent="0.35">
      <c r="A135" s="378"/>
      <c r="B135" s="379"/>
      <c r="C135" s="380"/>
      <c r="D135" s="222" t="s">
        <v>256</v>
      </c>
      <c r="E135" s="208" t="s">
        <v>257</v>
      </c>
      <c r="F135" s="375" t="s">
        <v>258</v>
      </c>
      <c r="G135" s="376"/>
      <c r="H135" s="377"/>
    </row>
    <row r="136" spans="1:8" x14ac:dyDescent="0.35">
      <c r="A136" s="289" t="s">
        <v>302</v>
      </c>
      <c r="B136" s="289"/>
      <c r="C136" s="198" t="s">
        <v>303</v>
      </c>
      <c r="D136" s="212" t="str">
        <f>F124</f>
        <v/>
      </c>
      <c r="E136" s="193" t="s">
        <v>2</v>
      </c>
      <c r="F136" s="344"/>
      <c r="G136" s="344"/>
      <c r="H136" s="344"/>
    </row>
    <row r="137" spans="1:8" x14ac:dyDescent="0.35">
      <c r="A137" s="289" t="s">
        <v>542</v>
      </c>
      <c r="B137" s="289"/>
      <c r="C137" s="198" t="s">
        <v>523</v>
      </c>
      <c r="D137" s="155"/>
      <c r="E137" s="193" t="s">
        <v>271</v>
      </c>
      <c r="F137" s="344"/>
      <c r="G137" s="344"/>
      <c r="H137" s="344"/>
    </row>
    <row r="138" spans="1:8" x14ac:dyDescent="0.35">
      <c r="A138" s="334" t="s">
        <v>513</v>
      </c>
      <c r="B138" s="334"/>
      <c r="C138" s="217" t="s">
        <v>524</v>
      </c>
      <c r="D138" s="217" t="e">
        <f>ROUND(D136/D137,0)</f>
        <v>#VALUE!</v>
      </c>
      <c r="E138" s="144" t="s">
        <v>316</v>
      </c>
      <c r="F138" s="387"/>
      <c r="G138" s="388"/>
      <c r="H138" s="389"/>
    </row>
    <row r="139" spans="1:8" x14ac:dyDescent="0.35">
      <c r="A139" s="334" t="s">
        <v>515</v>
      </c>
      <c r="B139" s="334"/>
      <c r="C139" s="217" t="s">
        <v>524</v>
      </c>
      <c r="D139" s="218"/>
      <c r="E139" s="144" t="s">
        <v>316</v>
      </c>
      <c r="F139" s="387" t="str">
        <f>IF(D139="","",IF(D139&lt;D138,"Does not meet design criteria",IF(D139&lt;D137,"Does not meet design criteria","")))</f>
        <v/>
      </c>
      <c r="G139" s="388"/>
      <c r="H139" s="389"/>
    </row>
    <row r="140" spans="1:8" x14ac:dyDescent="0.35">
      <c r="A140" s="334" t="s">
        <v>543</v>
      </c>
      <c r="B140" s="334"/>
      <c r="C140" s="217" t="s">
        <v>536</v>
      </c>
      <c r="D140" s="43"/>
      <c r="E140" s="144" t="s">
        <v>2</v>
      </c>
      <c r="F140" s="387" t="s">
        <v>544</v>
      </c>
      <c r="G140" s="388"/>
      <c r="H140" s="389"/>
    </row>
    <row r="141" spans="1:8" x14ac:dyDescent="0.35">
      <c r="A141" s="289" t="s">
        <v>545</v>
      </c>
      <c r="B141" s="289"/>
      <c r="C141" s="198" t="s">
        <v>546</v>
      </c>
      <c r="D141" s="43"/>
      <c r="E141" s="193" t="s">
        <v>2</v>
      </c>
      <c r="F141" s="344" t="s">
        <v>547</v>
      </c>
      <c r="G141" s="344"/>
      <c r="H141" s="344"/>
    </row>
    <row r="142" spans="1:8" x14ac:dyDescent="0.35">
      <c r="A142" s="334" t="s">
        <v>540</v>
      </c>
      <c r="B142" s="334"/>
      <c r="C142" s="217" t="s">
        <v>303</v>
      </c>
      <c r="D142" s="198">
        <f>SUM(D140:D141)</f>
        <v>0</v>
      </c>
      <c r="E142" s="144" t="s">
        <v>2</v>
      </c>
      <c r="F142" s="387" t="str">
        <f>IF(D142=0,"",IF(D142&lt;F124,"Does not meet sizing criteria",""))</f>
        <v/>
      </c>
      <c r="G142" s="388"/>
      <c r="H142" s="389"/>
    </row>
    <row r="143" spans="1:8" ht="13" x14ac:dyDescent="0.35">
      <c r="A143" s="412" t="s">
        <v>372</v>
      </c>
      <c r="B143" s="412"/>
      <c r="C143" s="412"/>
      <c r="D143" s="412"/>
      <c r="E143" s="412"/>
      <c r="F143" s="412"/>
      <c r="G143" s="412"/>
      <c r="H143" s="412"/>
    </row>
    <row r="144" spans="1:8" ht="13" x14ac:dyDescent="0.35">
      <c r="A144" s="335" t="s">
        <v>241</v>
      </c>
      <c r="B144" s="335"/>
      <c r="C144" s="9" t="str">
        <f>IF(A124="","",IF(D128="Yes",0,IF(D126&lt;0.5,0,IF(D129="Yes",0,IF(D131&lt;2,0,IF(D132&lt;2,0,IF(AND(D126&lt;=10,D133&lt;(F124*0.25)),0,IF(AND(D126&gt;10,D133&lt;(F124*0.5)),0,IF(D142&lt;F124,0,F124*1)))))))))</f>
        <v/>
      </c>
      <c r="D144" s="339" t="s">
        <v>2</v>
      </c>
      <c r="E144" s="340"/>
      <c r="F144" s="340"/>
      <c r="G144" s="340"/>
      <c r="H144" s="341"/>
    </row>
    <row r="145" spans="1:8" ht="13" x14ac:dyDescent="0.35">
      <c r="A145" s="16" t="s">
        <v>56</v>
      </c>
      <c r="B145" s="225" t="str">
        <f>IF('STEP 2-WQv Calculation'!$B$4="","",'STEP 2-WQv Calculation'!$B$4)</f>
        <v/>
      </c>
    </row>
    <row r="146" spans="1:8" ht="13" x14ac:dyDescent="0.35">
      <c r="A146" s="236" t="s">
        <v>293</v>
      </c>
      <c r="B146" s="237"/>
      <c r="C146" s="237"/>
      <c r="D146" s="237"/>
      <c r="E146" s="237"/>
      <c r="F146" s="237"/>
      <c r="G146" s="237"/>
      <c r="H146" s="238"/>
    </row>
    <row r="147" spans="1:8" ht="38.5" x14ac:dyDescent="0.35">
      <c r="A147" s="204" t="s">
        <v>60</v>
      </c>
      <c r="B147" s="205" t="s">
        <v>61</v>
      </c>
      <c r="C147" s="205" t="s">
        <v>62</v>
      </c>
      <c r="D147" s="205" t="s">
        <v>63</v>
      </c>
      <c r="E147" s="205" t="s">
        <v>64</v>
      </c>
      <c r="F147" s="205" t="s">
        <v>65</v>
      </c>
      <c r="G147" s="205" t="s">
        <v>244</v>
      </c>
      <c r="H147" s="206" t="s">
        <v>13</v>
      </c>
    </row>
    <row r="148" spans="1:8" x14ac:dyDescent="0.35">
      <c r="A148" s="218"/>
      <c r="B148" s="3" t="str">
        <f>IF($A148="","",(LOOKUP($A148,'STEP 2-WQv Calculation'!$A$8:$A$37,'STEP 2-WQv Calculation'!$B$8:$B$37)))</f>
        <v/>
      </c>
      <c r="C148" s="3" t="str">
        <f>IF($A148="","",(LOOKUP($A148,'STEP 2-WQv Calculation'!$A$8:$A$37,'STEP 2-WQv Calculation'!$C$8:$C$37)))</f>
        <v/>
      </c>
      <c r="D148" s="212" t="str">
        <f>IF($A148="","",(LOOKUP($A148,'STEP 2-WQv Calculation'!$A$8:$A$37,'STEP 2-WQv Calculation'!$D$8:$D$37)))</f>
        <v/>
      </c>
      <c r="E148" s="3" t="str">
        <f>IF($A148="","",(LOOKUP($A148,'STEP 2-WQv Calculation'!$A$8:$A$37,'STEP 2-WQv Calculation'!$E$37:$E152)))</f>
        <v/>
      </c>
      <c r="F148" s="217" t="str">
        <f>IF($A148="","",(LOOKUP($A148,'STEP 2-WQv Calculation'!$A$8:$A$37,'STEP 2-WQv Calculation'!$F$8:$F$37)))</f>
        <v/>
      </c>
      <c r="G148" s="22">
        <f>'STEP 2-WQv Calculation'!B53</f>
        <v>0</v>
      </c>
      <c r="H148" s="198" t="str">
        <f>IF($A148="","",(LOOKUP($A148,'STEP 2-WQv Calculation'!$A$8:$A$37,'STEP 2-WQv Calculation'!$G$8:$G$37)))</f>
        <v/>
      </c>
    </row>
    <row r="149" spans="1:8" ht="13" x14ac:dyDescent="0.35">
      <c r="A149" s="409" t="s">
        <v>226</v>
      </c>
      <c r="B149" s="410"/>
      <c r="C149" s="410"/>
      <c r="D149" s="410"/>
      <c r="E149" s="410"/>
      <c r="F149" s="410"/>
      <c r="G149" s="410"/>
      <c r="H149" s="411"/>
    </row>
    <row r="150" spans="1:8" ht="23.15" customHeight="1" x14ac:dyDescent="0.35">
      <c r="A150" s="242" t="s">
        <v>295</v>
      </c>
      <c r="B150" s="243"/>
      <c r="C150" s="244"/>
      <c r="D150" s="44"/>
      <c r="E150" s="322" t="str">
        <f>IF(D150="","",IF(D150&lt;0.5,"Does not meet design criteria",""))</f>
        <v/>
      </c>
      <c r="F150" s="323"/>
      <c r="G150" s="323"/>
      <c r="H150" s="324"/>
    </row>
    <row r="151" spans="1:8" ht="23.15" customHeight="1" x14ac:dyDescent="0.35">
      <c r="A151" s="242" t="s">
        <v>717</v>
      </c>
      <c r="B151" s="243"/>
      <c r="C151" s="244"/>
      <c r="D151" s="211"/>
      <c r="E151" s="322" t="str">
        <f>IF(D151="Yes","Two treatment practices in series required. Refer to Section 6.3.1","")</f>
        <v/>
      </c>
      <c r="F151" s="323"/>
      <c r="G151" s="323"/>
      <c r="H151" s="324"/>
    </row>
    <row r="152" spans="1:8" ht="23.15" customHeight="1" x14ac:dyDescent="0.35">
      <c r="A152" s="242" t="s">
        <v>718</v>
      </c>
      <c r="B152" s="243"/>
      <c r="C152" s="244"/>
      <c r="D152" s="211"/>
      <c r="E152" s="322" t="str">
        <f>IF(D152="","See Section 4.14 of the Design Manual",IF(D152="Yes","Does not meet design criteria",""))</f>
        <v>See Section 4.14 of the Design Manual</v>
      </c>
      <c r="F152" s="323"/>
      <c r="G152" s="323"/>
      <c r="H152" s="324"/>
    </row>
    <row r="153" spans="1:8" ht="23.15" customHeight="1" x14ac:dyDescent="0.35">
      <c r="A153" s="242" t="s">
        <v>541</v>
      </c>
      <c r="B153" s="243"/>
      <c r="C153" s="244"/>
      <c r="D153" s="135" t="str">
        <f>IF(B148="","",IF(B148&gt;10,"Yes","No"))</f>
        <v/>
      </c>
      <c r="E153" s="322" t="str">
        <f>IF(D153="","",IF(D153="Yes","Does not meet design criteria",""))</f>
        <v/>
      </c>
      <c r="F153" s="323"/>
      <c r="G153" s="323"/>
      <c r="H153" s="324"/>
    </row>
    <row r="154" spans="1:8" ht="23.15" customHeight="1" x14ac:dyDescent="0.35">
      <c r="A154" s="242" t="s">
        <v>703</v>
      </c>
      <c r="B154" s="406"/>
      <c r="C154" s="407"/>
      <c r="D154" s="43"/>
      <c r="E154" s="322"/>
      <c r="F154" s="406"/>
      <c r="G154" s="406"/>
      <c r="H154" s="407"/>
    </row>
    <row r="155" spans="1:8" ht="23.15" customHeight="1" x14ac:dyDescent="0.35">
      <c r="A155" s="242" t="s">
        <v>296</v>
      </c>
      <c r="B155" s="243"/>
      <c r="C155" s="244"/>
      <c r="D155" s="43"/>
      <c r="E155" s="322" t="str">
        <f>IF(OR(AND(D154="Yes",D155&lt;4),AND(D154="No",D155&lt;2)),"Does not meet design criteria","")</f>
        <v/>
      </c>
      <c r="F155" s="323"/>
      <c r="G155" s="323"/>
      <c r="H155" s="324"/>
    </row>
    <row r="156" spans="1:8" ht="23.15" customHeight="1" x14ac:dyDescent="0.35">
      <c r="A156" s="242" t="s">
        <v>297</v>
      </c>
      <c r="B156" s="243"/>
      <c r="C156" s="244"/>
      <c r="D156" s="43"/>
      <c r="E156" s="322" t="str">
        <f>IF(D156="","",IF(D156&lt;2,"Does not meet design criteria",""))</f>
        <v/>
      </c>
      <c r="F156" s="323"/>
      <c r="G156" s="323"/>
      <c r="H156" s="324"/>
    </row>
    <row r="157" spans="1:8" ht="23.15" customHeight="1" x14ac:dyDescent="0.35">
      <c r="A157" s="242" t="s">
        <v>507</v>
      </c>
      <c r="B157" s="243"/>
      <c r="C157" s="244"/>
      <c r="D157" s="43"/>
      <c r="E157" s="322" t="str">
        <f>IF(D157="","",IF(AND(D150&lt;=10,D157&lt;(F148*0.25)),"Does not meet design criteria",IF(AND(D150&gt;10,D157&lt;(F148*0.5)),"Does not meet design criteria","")))</f>
        <v/>
      </c>
      <c r="F157" s="323"/>
      <c r="G157" s="323"/>
      <c r="H157" s="324"/>
    </row>
    <row r="158" spans="1:8" ht="13" x14ac:dyDescent="0.35">
      <c r="A158" s="409" t="s">
        <v>232</v>
      </c>
      <c r="B158" s="410"/>
      <c r="C158" s="410"/>
      <c r="D158" s="410"/>
      <c r="E158" s="410"/>
      <c r="F158" s="410"/>
      <c r="G158" s="410"/>
      <c r="H158" s="411"/>
    </row>
    <row r="159" spans="1:8" x14ac:dyDescent="0.35">
      <c r="A159" s="378"/>
      <c r="B159" s="379"/>
      <c r="C159" s="380"/>
      <c r="D159" s="222" t="s">
        <v>256</v>
      </c>
      <c r="E159" s="208" t="s">
        <v>257</v>
      </c>
      <c r="F159" s="375" t="s">
        <v>258</v>
      </c>
      <c r="G159" s="376"/>
      <c r="H159" s="377"/>
    </row>
    <row r="160" spans="1:8" x14ac:dyDescent="0.35">
      <c r="A160" s="289" t="s">
        <v>302</v>
      </c>
      <c r="B160" s="289"/>
      <c r="C160" s="198" t="s">
        <v>303</v>
      </c>
      <c r="D160" s="212" t="str">
        <f>F148</f>
        <v/>
      </c>
      <c r="E160" s="193" t="s">
        <v>2</v>
      </c>
      <c r="F160" s="344"/>
      <c r="G160" s="344"/>
      <c r="H160" s="344"/>
    </row>
    <row r="161" spans="1:8" x14ac:dyDescent="0.35">
      <c r="A161" s="289" t="s">
        <v>542</v>
      </c>
      <c r="B161" s="289"/>
      <c r="C161" s="198" t="s">
        <v>523</v>
      </c>
      <c r="D161" s="155"/>
      <c r="E161" s="193" t="s">
        <v>271</v>
      </c>
      <c r="F161" s="344"/>
      <c r="G161" s="344"/>
      <c r="H161" s="344"/>
    </row>
    <row r="162" spans="1:8" x14ac:dyDescent="0.35">
      <c r="A162" s="334" t="s">
        <v>513</v>
      </c>
      <c r="B162" s="334"/>
      <c r="C162" s="217" t="s">
        <v>524</v>
      </c>
      <c r="D162" s="217" t="e">
        <f>ROUND(D160/D161,0)</f>
        <v>#VALUE!</v>
      </c>
      <c r="E162" s="144" t="s">
        <v>316</v>
      </c>
      <c r="F162" s="387"/>
      <c r="G162" s="388"/>
      <c r="H162" s="389"/>
    </row>
    <row r="163" spans="1:8" x14ac:dyDescent="0.35">
      <c r="A163" s="334" t="s">
        <v>515</v>
      </c>
      <c r="B163" s="334"/>
      <c r="C163" s="217" t="s">
        <v>524</v>
      </c>
      <c r="D163" s="218"/>
      <c r="E163" s="144" t="s">
        <v>316</v>
      </c>
      <c r="F163" s="387" t="str">
        <f>IF(D163="","",IF(D163&lt;D162,"Does not meet design criteria",IF(D163&lt;D161,"Does not meet design criteria","")))</f>
        <v/>
      </c>
      <c r="G163" s="388"/>
      <c r="H163" s="389"/>
    </row>
    <row r="164" spans="1:8" x14ac:dyDescent="0.35">
      <c r="A164" s="334" t="s">
        <v>543</v>
      </c>
      <c r="B164" s="334"/>
      <c r="C164" s="217" t="s">
        <v>536</v>
      </c>
      <c r="D164" s="43"/>
      <c r="E164" s="144" t="s">
        <v>2</v>
      </c>
      <c r="F164" s="387" t="s">
        <v>544</v>
      </c>
      <c r="G164" s="388"/>
      <c r="H164" s="389"/>
    </row>
    <row r="165" spans="1:8" x14ac:dyDescent="0.35">
      <c r="A165" s="289" t="s">
        <v>545</v>
      </c>
      <c r="B165" s="289"/>
      <c r="C165" s="198" t="s">
        <v>546</v>
      </c>
      <c r="D165" s="43"/>
      <c r="E165" s="193" t="s">
        <v>2</v>
      </c>
      <c r="F165" s="344" t="s">
        <v>547</v>
      </c>
      <c r="G165" s="344"/>
      <c r="H165" s="344"/>
    </row>
    <row r="166" spans="1:8" x14ac:dyDescent="0.35">
      <c r="A166" s="334" t="s">
        <v>540</v>
      </c>
      <c r="B166" s="334"/>
      <c r="C166" s="217" t="s">
        <v>303</v>
      </c>
      <c r="D166" s="198">
        <f>SUM(D164:D165)</f>
        <v>0</v>
      </c>
      <c r="E166" s="144" t="s">
        <v>2</v>
      </c>
      <c r="F166" s="387" t="str">
        <f>IF(D166=0,"",IF(D166&lt;F148,"Does not meet sizing criteria",""))</f>
        <v/>
      </c>
      <c r="G166" s="388"/>
      <c r="H166" s="389"/>
    </row>
    <row r="167" spans="1:8" ht="13" x14ac:dyDescent="0.35">
      <c r="A167" s="412" t="s">
        <v>372</v>
      </c>
      <c r="B167" s="412"/>
      <c r="C167" s="412"/>
      <c r="D167" s="412"/>
      <c r="E167" s="412"/>
      <c r="F167" s="412"/>
      <c r="G167" s="412"/>
      <c r="H167" s="412"/>
    </row>
    <row r="168" spans="1:8" ht="13" x14ac:dyDescent="0.35">
      <c r="A168" s="335" t="s">
        <v>241</v>
      </c>
      <c r="B168" s="335"/>
      <c r="C168" s="9" t="str">
        <f>IF(A148="","",IF(D152="Yes",0,IF(D150&lt;0.5,0,IF(D153="Yes",0,IF(D155&lt;2,0,IF(D156&lt;2,0,IF(AND(D150&lt;=10,D157&lt;(F148*0.25)),0,IF(AND(D150&gt;10,D157&lt;(F148*0.5)),0,IF(D166&lt;F148,0,F148*1)))))))))</f>
        <v/>
      </c>
      <c r="D168" s="339" t="s">
        <v>2</v>
      </c>
      <c r="E168" s="340"/>
      <c r="F168" s="340"/>
      <c r="G168" s="340"/>
      <c r="H168" s="341"/>
    </row>
    <row r="169" spans="1:8" ht="13" x14ac:dyDescent="0.35">
      <c r="A169" s="16" t="s">
        <v>56</v>
      </c>
      <c r="B169" s="225" t="str">
        <f>IF('STEP 2-WQv Calculation'!$B$4="","",'STEP 2-WQv Calculation'!$B$4)</f>
        <v/>
      </c>
    </row>
    <row r="170" spans="1:8" ht="13" x14ac:dyDescent="0.35">
      <c r="A170" s="236" t="s">
        <v>293</v>
      </c>
      <c r="B170" s="237"/>
      <c r="C170" s="237"/>
      <c r="D170" s="237"/>
      <c r="E170" s="237"/>
      <c r="F170" s="237"/>
      <c r="G170" s="237"/>
      <c r="H170" s="238"/>
    </row>
    <row r="171" spans="1:8" ht="38.5" x14ac:dyDescent="0.35">
      <c r="A171" s="204" t="s">
        <v>60</v>
      </c>
      <c r="B171" s="205" t="s">
        <v>61</v>
      </c>
      <c r="C171" s="205" t="s">
        <v>62</v>
      </c>
      <c r="D171" s="205" t="s">
        <v>63</v>
      </c>
      <c r="E171" s="205" t="s">
        <v>64</v>
      </c>
      <c r="F171" s="205" t="s">
        <v>65</v>
      </c>
      <c r="G171" s="205" t="s">
        <v>244</v>
      </c>
      <c r="H171" s="206" t="s">
        <v>13</v>
      </c>
    </row>
    <row r="172" spans="1:8" x14ac:dyDescent="0.35">
      <c r="A172" s="218"/>
      <c r="B172" s="3" t="str">
        <f>IF($A172="","",(LOOKUP($A172,'STEP 2-WQv Calculation'!$A$8:$A$37,'STEP 2-WQv Calculation'!$B$8:$B$37)))</f>
        <v/>
      </c>
      <c r="C172" s="3" t="str">
        <f>IF($A172="","",(LOOKUP($A172,'STEP 2-WQv Calculation'!$A$8:$A$37,'STEP 2-WQv Calculation'!$C$8:$C$37)))</f>
        <v/>
      </c>
      <c r="D172" s="212" t="str">
        <f>IF($A172="","",(LOOKUP($A172,'STEP 2-WQv Calculation'!$A$8:$A$37,'STEP 2-WQv Calculation'!$D$8:$D$37)))</f>
        <v/>
      </c>
      <c r="E172" s="3" t="str">
        <f>IF($A172="","",(LOOKUP($A172,'STEP 2-WQv Calculation'!$A$8:$A$37,'STEP 2-WQv Calculation'!$E$37:$E176)))</f>
        <v/>
      </c>
      <c r="F172" s="217" t="str">
        <f>IF($A172="","",(LOOKUP($A172,'STEP 2-WQv Calculation'!$A$8:$A$37,'STEP 2-WQv Calculation'!$F$8:$F$37)))</f>
        <v/>
      </c>
      <c r="G172" s="22">
        <f>'STEP 2-WQv Calculation'!B77</f>
        <v>0</v>
      </c>
      <c r="H172" s="198" t="str">
        <f>IF($A172="","",(LOOKUP($A172,'STEP 2-WQv Calculation'!$A$8:$A$37,'STEP 2-WQv Calculation'!$G$8:$G$37)))</f>
        <v/>
      </c>
    </row>
    <row r="173" spans="1:8" ht="13" x14ac:dyDescent="0.35">
      <c r="A173" s="409" t="s">
        <v>226</v>
      </c>
      <c r="B173" s="410"/>
      <c r="C173" s="410"/>
      <c r="D173" s="410"/>
      <c r="E173" s="410"/>
      <c r="F173" s="410"/>
      <c r="G173" s="410"/>
      <c r="H173" s="411"/>
    </row>
    <row r="174" spans="1:8" ht="23.15" customHeight="1" x14ac:dyDescent="0.35">
      <c r="A174" s="242" t="s">
        <v>295</v>
      </c>
      <c r="B174" s="243"/>
      <c r="C174" s="244"/>
      <c r="D174" s="44"/>
      <c r="E174" s="322" t="str">
        <f>IF(D174="","",IF(D174&lt;0.5,"Does not meet design criteria",""))</f>
        <v/>
      </c>
      <c r="F174" s="323"/>
      <c r="G174" s="323"/>
      <c r="H174" s="324"/>
    </row>
    <row r="175" spans="1:8" ht="23.15" customHeight="1" x14ac:dyDescent="0.35">
      <c r="A175" s="242" t="s">
        <v>717</v>
      </c>
      <c r="B175" s="243"/>
      <c r="C175" s="244"/>
      <c r="D175" s="211"/>
      <c r="E175" s="322" t="str">
        <f>IF(D175="Yes","Two treatment practices in series required. Refer to Section 6.3.1","")</f>
        <v/>
      </c>
      <c r="F175" s="323"/>
      <c r="G175" s="323"/>
      <c r="H175" s="324"/>
    </row>
    <row r="176" spans="1:8" ht="23.15" customHeight="1" x14ac:dyDescent="0.35">
      <c r="A176" s="242" t="s">
        <v>718</v>
      </c>
      <c r="B176" s="243"/>
      <c r="C176" s="244"/>
      <c r="D176" s="211"/>
      <c r="E176" s="322" t="str">
        <f>IF(D176="","See Section 4.14 of the Design Manual",IF(D176="Yes","Does not meet design criteria",""))</f>
        <v>See Section 4.14 of the Design Manual</v>
      </c>
      <c r="F176" s="323"/>
      <c r="G176" s="323"/>
      <c r="H176" s="324"/>
    </row>
    <row r="177" spans="1:8" ht="23.15" customHeight="1" x14ac:dyDescent="0.35">
      <c r="A177" s="242" t="s">
        <v>541</v>
      </c>
      <c r="B177" s="243"/>
      <c r="C177" s="244"/>
      <c r="D177" s="135" t="str">
        <f>IF(B172="","",IF(B172&gt;10,"Yes","No"))</f>
        <v/>
      </c>
      <c r="E177" s="322" t="str">
        <f>IF(D177="","",IF(D177="Yes","Does not meet design criteria",""))</f>
        <v/>
      </c>
      <c r="F177" s="323"/>
      <c r="G177" s="323"/>
      <c r="H177" s="324"/>
    </row>
    <row r="178" spans="1:8" ht="23.15" customHeight="1" x14ac:dyDescent="0.35">
      <c r="A178" s="242" t="s">
        <v>703</v>
      </c>
      <c r="B178" s="406"/>
      <c r="C178" s="407"/>
      <c r="D178" s="43"/>
      <c r="E178" s="322"/>
      <c r="F178" s="406"/>
      <c r="G178" s="406"/>
      <c r="H178" s="407"/>
    </row>
    <row r="179" spans="1:8" ht="23.15" customHeight="1" x14ac:dyDescent="0.35">
      <c r="A179" s="242" t="s">
        <v>296</v>
      </c>
      <c r="B179" s="243"/>
      <c r="C179" s="244"/>
      <c r="D179" s="43"/>
      <c r="E179" s="322" t="str">
        <f>IF(OR(AND(D178="Yes",D179&lt;4),AND(D178="No",D179&lt;2)),"Does not meet design criteria","")</f>
        <v/>
      </c>
      <c r="F179" s="323"/>
      <c r="G179" s="323"/>
      <c r="H179" s="324"/>
    </row>
    <row r="180" spans="1:8" ht="23.15" customHeight="1" x14ac:dyDescent="0.35">
      <c r="A180" s="242" t="s">
        <v>297</v>
      </c>
      <c r="B180" s="243"/>
      <c r="C180" s="244"/>
      <c r="D180" s="43"/>
      <c r="E180" s="322" t="str">
        <f>IF(D180="","",IF(D180&lt;2,"Does not meet design criteria",""))</f>
        <v/>
      </c>
      <c r="F180" s="323"/>
      <c r="G180" s="323"/>
      <c r="H180" s="324"/>
    </row>
    <row r="181" spans="1:8" ht="23.15" customHeight="1" x14ac:dyDescent="0.35">
      <c r="A181" s="242" t="s">
        <v>507</v>
      </c>
      <c r="B181" s="243"/>
      <c r="C181" s="244"/>
      <c r="D181" s="43"/>
      <c r="E181" s="322" t="str">
        <f>IF(D181="","",IF(AND(D174&lt;=10,D181&lt;(F172*0.25)),"Does not meet design criteria",IF(AND(D174&gt;10,D181&lt;(F172*0.5)),"Does not meet design criteria","")))</f>
        <v/>
      </c>
      <c r="F181" s="323"/>
      <c r="G181" s="323"/>
      <c r="H181" s="324"/>
    </row>
    <row r="182" spans="1:8" ht="13" x14ac:dyDescent="0.35">
      <c r="A182" s="409" t="s">
        <v>232</v>
      </c>
      <c r="B182" s="410"/>
      <c r="C182" s="410"/>
      <c r="D182" s="410"/>
      <c r="E182" s="410"/>
      <c r="F182" s="410"/>
      <c r="G182" s="410"/>
      <c r="H182" s="411"/>
    </row>
    <row r="183" spans="1:8" x14ac:dyDescent="0.35">
      <c r="A183" s="378"/>
      <c r="B183" s="379"/>
      <c r="C183" s="380"/>
      <c r="D183" s="222" t="s">
        <v>256</v>
      </c>
      <c r="E183" s="208" t="s">
        <v>257</v>
      </c>
      <c r="F183" s="375" t="s">
        <v>258</v>
      </c>
      <c r="G183" s="376"/>
      <c r="H183" s="377"/>
    </row>
    <row r="184" spans="1:8" x14ac:dyDescent="0.35">
      <c r="A184" s="289" t="s">
        <v>302</v>
      </c>
      <c r="B184" s="289"/>
      <c r="C184" s="198" t="s">
        <v>303</v>
      </c>
      <c r="D184" s="212" t="str">
        <f>F172</f>
        <v/>
      </c>
      <c r="E184" s="193" t="s">
        <v>2</v>
      </c>
      <c r="F184" s="344"/>
      <c r="G184" s="344"/>
      <c r="H184" s="344"/>
    </row>
    <row r="185" spans="1:8" x14ac:dyDescent="0.35">
      <c r="A185" s="289" t="s">
        <v>542</v>
      </c>
      <c r="B185" s="289"/>
      <c r="C185" s="198" t="s">
        <v>523</v>
      </c>
      <c r="D185" s="155"/>
      <c r="E185" s="193" t="s">
        <v>271</v>
      </c>
      <c r="F185" s="344"/>
      <c r="G185" s="344"/>
      <c r="H185" s="344"/>
    </row>
    <row r="186" spans="1:8" x14ac:dyDescent="0.35">
      <c r="A186" s="334" t="s">
        <v>513</v>
      </c>
      <c r="B186" s="334"/>
      <c r="C186" s="217" t="s">
        <v>524</v>
      </c>
      <c r="D186" s="217" t="e">
        <f>ROUND(D184/D185,0)</f>
        <v>#VALUE!</v>
      </c>
      <c r="E186" s="144" t="s">
        <v>316</v>
      </c>
      <c r="F186" s="387"/>
      <c r="G186" s="388"/>
      <c r="H186" s="389"/>
    </row>
    <row r="187" spans="1:8" x14ac:dyDescent="0.35">
      <c r="A187" s="334" t="s">
        <v>515</v>
      </c>
      <c r="B187" s="334"/>
      <c r="C187" s="217" t="s">
        <v>524</v>
      </c>
      <c r="D187" s="218"/>
      <c r="E187" s="144" t="s">
        <v>316</v>
      </c>
      <c r="F187" s="387" t="str">
        <f>IF(D187="","",IF(D187&lt;D186,"Does not meet design criteria",IF(D187&lt;D185,"Does not meet design criteria","")))</f>
        <v/>
      </c>
      <c r="G187" s="388"/>
      <c r="H187" s="389"/>
    </row>
    <row r="188" spans="1:8" x14ac:dyDescent="0.35">
      <c r="A188" s="334" t="s">
        <v>543</v>
      </c>
      <c r="B188" s="334"/>
      <c r="C188" s="217" t="s">
        <v>536</v>
      </c>
      <c r="D188" s="43"/>
      <c r="E188" s="144" t="s">
        <v>2</v>
      </c>
      <c r="F188" s="387" t="s">
        <v>544</v>
      </c>
      <c r="G188" s="388"/>
      <c r="H188" s="389"/>
    </row>
    <row r="189" spans="1:8" x14ac:dyDescent="0.35">
      <c r="A189" s="289" t="s">
        <v>545</v>
      </c>
      <c r="B189" s="289"/>
      <c r="C189" s="198" t="s">
        <v>546</v>
      </c>
      <c r="D189" s="43"/>
      <c r="E189" s="193" t="s">
        <v>2</v>
      </c>
      <c r="F189" s="344" t="s">
        <v>547</v>
      </c>
      <c r="G189" s="344"/>
      <c r="H189" s="344"/>
    </row>
    <row r="190" spans="1:8" x14ac:dyDescent="0.35">
      <c r="A190" s="334" t="s">
        <v>540</v>
      </c>
      <c r="B190" s="334"/>
      <c r="C190" s="217" t="s">
        <v>303</v>
      </c>
      <c r="D190" s="198">
        <f>SUM(D188:D189)</f>
        <v>0</v>
      </c>
      <c r="E190" s="144" t="s">
        <v>2</v>
      </c>
      <c r="F190" s="387" t="str">
        <f>IF(D190=0,"",IF(D190&lt;F172,"Does not meet sizing criteria",""))</f>
        <v/>
      </c>
      <c r="G190" s="388"/>
      <c r="H190" s="389"/>
    </row>
    <row r="191" spans="1:8" ht="13" x14ac:dyDescent="0.35">
      <c r="A191" s="412" t="s">
        <v>372</v>
      </c>
      <c r="B191" s="412"/>
      <c r="C191" s="412"/>
      <c r="D191" s="412"/>
      <c r="E191" s="412"/>
      <c r="F191" s="412"/>
      <c r="G191" s="412"/>
      <c r="H191" s="412"/>
    </row>
    <row r="192" spans="1:8" ht="13" x14ac:dyDescent="0.35">
      <c r="A192" s="335" t="s">
        <v>241</v>
      </c>
      <c r="B192" s="335"/>
      <c r="C192" s="9" t="str">
        <f>IF(A172="","",IF(D176="Yes",0,IF(D174&lt;0.5,0,IF(D177="Yes",0,IF(D179&lt;2,0,IF(D180&lt;2,0,IF(AND(D174&lt;=10,D181&lt;(F172*0.25)),0,IF(AND(D174&gt;10,D181&lt;(F172*0.5)),0,IF(D190&lt;F172,0,F172*1)))))))))</f>
        <v/>
      </c>
      <c r="D192" s="339" t="s">
        <v>2</v>
      </c>
      <c r="E192" s="340"/>
      <c r="F192" s="340"/>
      <c r="G192" s="340"/>
      <c r="H192" s="341"/>
    </row>
    <row r="193" spans="1:8" ht="13" x14ac:dyDescent="0.35">
      <c r="A193" s="16" t="s">
        <v>56</v>
      </c>
      <c r="B193" s="225" t="str">
        <f>IF('STEP 2-WQv Calculation'!$B$4="","",'STEP 2-WQv Calculation'!$B$4)</f>
        <v/>
      </c>
    </row>
    <row r="194" spans="1:8" ht="13" x14ac:dyDescent="0.35">
      <c r="A194" s="236" t="s">
        <v>293</v>
      </c>
      <c r="B194" s="237"/>
      <c r="C194" s="237"/>
      <c r="D194" s="237"/>
      <c r="E194" s="237"/>
      <c r="F194" s="237"/>
      <c r="G194" s="237"/>
      <c r="H194" s="238"/>
    </row>
    <row r="195" spans="1:8" ht="38.5" x14ac:dyDescent="0.35">
      <c r="A195" s="204" t="s">
        <v>60</v>
      </c>
      <c r="B195" s="205" t="s">
        <v>61</v>
      </c>
      <c r="C195" s="205" t="s">
        <v>62</v>
      </c>
      <c r="D195" s="205" t="s">
        <v>63</v>
      </c>
      <c r="E195" s="205" t="s">
        <v>64</v>
      </c>
      <c r="F195" s="205" t="s">
        <v>65</v>
      </c>
      <c r="G195" s="205" t="s">
        <v>244</v>
      </c>
      <c r="H195" s="206" t="s">
        <v>13</v>
      </c>
    </row>
    <row r="196" spans="1:8" x14ac:dyDescent="0.35">
      <c r="A196" s="218"/>
      <c r="B196" s="3" t="str">
        <f>IF($A196="","",(LOOKUP($A196,'STEP 2-WQv Calculation'!$A$8:$A$37,'STEP 2-WQv Calculation'!$B$8:$B$37)))</f>
        <v/>
      </c>
      <c r="C196" s="3" t="str">
        <f>IF($A196="","",(LOOKUP($A196,'STEP 2-WQv Calculation'!$A$8:$A$37,'STEP 2-WQv Calculation'!$C$8:$C$37)))</f>
        <v/>
      </c>
      <c r="D196" s="212" t="str">
        <f>IF($A196="","",(LOOKUP($A196,'STEP 2-WQv Calculation'!$A$8:$A$37,'STEP 2-WQv Calculation'!$D$8:$D$37)))</f>
        <v/>
      </c>
      <c r="E196" s="3" t="str">
        <f>IF($A196="","",(LOOKUP($A196,'STEP 2-WQv Calculation'!$A$8:$A$37,'STEP 2-WQv Calculation'!$E$37:$E200)))</f>
        <v/>
      </c>
      <c r="F196" s="217" t="str">
        <f>IF($A196="","",(LOOKUP($A196,'STEP 2-WQv Calculation'!$A$8:$A$37,'STEP 2-WQv Calculation'!$F$8:$F$37)))</f>
        <v/>
      </c>
      <c r="G196" s="22">
        <f>'STEP 2-WQv Calculation'!B101</f>
        <v>0</v>
      </c>
      <c r="H196" s="198" t="str">
        <f>IF($A196="","",(LOOKUP($A196,'STEP 2-WQv Calculation'!$A$8:$A$37,'STEP 2-WQv Calculation'!$G$8:$G$37)))</f>
        <v/>
      </c>
    </row>
    <row r="197" spans="1:8" ht="13" x14ac:dyDescent="0.35">
      <c r="A197" s="409" t="s">
        <v>226</v>
      </c>
      <c r="B197" s="410"/>
      <c r="C197" s="410"/>
      <c r="D197" s="410"/>
      <c r="E197" s="410"/>
      <c r="F197" s="410"/>
      <c r="G197" s="410"/>
      <c r="H197" s="411"/>
    </row>
    <row r="198" spans="1:8" ht="23.15" customHeight="1" x14ac:dyDescent="0.35">
      <c r="A198" s="242" t="s">
        <v>295</v>
      </c>
      <c r="B198" s="243"/>
      <c r="C198" s="244"/>
      <c r="D198" s="44"/>
      <c r="E198" s="322" t="str">
        <f>IF(D198="","",IF(D198&lt;0.5,"Does not meet design criteria",""))</f>
        <v/>
      </c>
      <c r="F198" s="323"/>
      <c r="G198" s="323"/>
      <c r="H198" s="324"/>
    </row>
    <row r="199" spans="1:8" ht="23.15" customHeight="1" x14ac:dyDescent="0.35">
      <c r="A199" s="242" t="s">
        <v>717</v>
      </c>
      <c r="B199" s="243"/>
      <c r="C199" s="244"/>
      <c r="D199" s="211"/>
      <c r="E199" s="322" t="str">
        <f>IF(D199="Yes","Two treatment practices in series required. Refer to Section 6.3.1","")</f>
        <v/>
      </c>
      <c r="F199" s="323"/>
      <c r="G199" s="323"/>
      <c r="H199" s="324"/>
    </row>
    <row r="200" spans="1:8" ht="23.15" customHeight="1" x14ac:dyDescent="0.35">
      <c r="A200" s="242" t="s">
        <v>718</v>
      </c>
      <c r="B200" s="243"/>
      <c r="C200" s="244"/>
      <c r="D200" s="211"/>
      <c r="E200" s="322" t="str">
        <f>IF(D200="","See Section 4.14 of the Design Manual",IF(D200="Yes","Does not meet design criteria",""))</f>
        <v>See Section 4.14 of the Design Manual</v>
      </c>
      <c r="F200" s="323"/>
      <c r="G200" s="323"/>
      <c r="H200" s="324"/>
    </row>
    <row r="201" spans="1:8" ht="23.15" customHeight="1" x14ac:dyDescent="0.35">
      <c r="A201" s="242" t="s">
        <v>541</v>
      </c>
      <c r="B201" s="243"/>
      <c r="C201" s="244"/>
      <c r="D201" s="135" t="str">
        <f>IF(B196="","",IF(B196&gt;10,"Yes","No"))</f>
        <v/>
      </c>
      <c r="E201" s="322" t="str">
        <f>IF(D201="","",IF(D201="Yes","Does not meet design criteria",""))</f>
        <v/>
      </c>
      <c r="F201" s="323"/>
      <c r="G201" s="323"/>
      <c r="H201" s="324"/>
    </row>
    <row r="202" spans="1:8" ht="23.15" customHeight="1" x14ac:dyDescent="0.35">
      <c r="A202" s="242" t="s">
        <v>703</v>
      </c>
      <c r="B202" s="406"/>
      <c r="C202" s="407"/>
      <c r="D202" s="43"/>
      <c r="E202" s="322"/>
      <c r="F202" s="406"/>
      <c r="G202" s="406"/>
      <c r="H202" s="407"/>
    </row>
    <row r="203" spans="1:8" ht="23.15" customHeight="1" x14ac:dyDescent="0.35">
      <c r="A203" s="242" t="s">
        <v>296</v>
      </c>
      <c r="B203" s="243"/>
      <c r="C203" s="244"/>
      <c r="D203" s="43"/>
      <c r="E203" s="322" t="str">
        <f>IF(OR(AND(D202="Yes",D203&lt;4),AND(D202="No",D203&lt;2)),"Does not meet design criteria","")</f>
        <v/>
      </c>
      <c r="F203" s="323"/>
      <c r="G203" s="323"/>
      <c r="H203" s="324"/>
    </row>
    <row r="204" spans="1:8" ht="23.15" customHeight="1" x14ac:dyDescent="0.35">
      <c r="A204" s="242" t="s">
        <v>297</v>
      </c>
      <c r="B204" s="243"/>
      <c r="C204" s="244"/>
      <c r="D204" s="43"/>
      <c r="E204" s="322" t="str">
        <f>IF(D204="","",IF(D204&lt;2,"Does not meet design criteria",""))</f>
        <v/>
      </c>
      <c r="F204" s="323"/>
      <c r="G204" s="323"/>
      <c r="H204" s="324"/>
    </row>
    <row r="205" spans="1:8" ht="23.15" customHeight="1" x14ac:dyDescent="0.35">
      <c r="A205" s="242" t="s">
        <v>507</v>
      </c>
      <c r="B205" s="243"/>
      <c r="C205" s="244"/>
      <c r="D205" s="43"/>
      <c r="E205" s="322" t="str">
        <f>IF(D205="","",IF(AND(D198&lt;=10,D205&lt;(F196*0.25)),"Does not meet design criteria",IF(AND(D198&gt;10,D205&lt;(F196*0.5)),"Does not meet design criteria","")))</f>
        <v/>
      </c>
      <c r="F205" s="323"/>
      <c r="G205" s="323"/>
      <c r="H205" s="324"/>
    </row>
    <row r="206" spans="1:8" ht="13" x14ac:dyDescent="0.35">
      <c r="A206" s="409" t="s">
        <v>232</v>
      </c>
      <c r="B206" s="410"/>
      <c r="C206" s="410"/>
      <c r="D206" s="410"/>
      <c r="E206" s="410"/>
      <c r="F206" s="410"/>
      <c r="G206" s="410"/>
      <c r="H206" s="411"/>
    </row>
    <row r="207" spans="1:8" x14ac:dyDescent="0.35">
      <c r="A207" s="378"/>
      <c r="B207" s="379"/>
      <c r="C207" s="380"/>
      <c r="D207" s="222" t="s">
        <v>256</v>
      </c>
      <c r="E207" s="208" t="s">
        <v>257</v>
      </c>
      <c r="F207" s="375" t="s">
        <v>258</v>
      </c>
      <c r="G207" s="376"/>
      <c r="H207" s="377"/>
    </row>
    <row r="208" spans="1:8" x14ac:dyDescent="0.35">
      <c r="A208" s="289" t="s">
        <v>302</v>
      </c>
      <c r="B208" s="289"/>
      <c r="C208" s="198" t="s">
        <v>303</v>
      </c>
      <c r="D208" s="212" t="str">
        <f>F196</f>
        <v/>
      </c>
      <c r="E208" s="193" t="s">
        <v>2</v>
      </c>
      <c r="F208" s="344"/>
      <c r="G208" s="344"/>
      <c r="H208" s="344"/>
    </row>
    <row r="209" spans="1:8" x14ac:dyDescent="0.35">
      <c r="A209" s="289" t="s">
        <v>542</v>
      </c>
      <c r="B209" s="289"/>
      <c r="C209" s="198" t="s">
        <v>523</v>
      </c>
      <c r="D209" s="155"/>
      <c r="E209" s="193" t="s">
        <v>271</v>
      </c>
      <c r="F209" s="344"/>
      <c r="G209" s="344"/>
      <c r="H209" s="344"/>
    </row>
    <row r="210" spans="1:8" x14ac:dyDescent="0.35">
      <c r="A210" s="334" t="s">
        <v>513</v>
      </c>
      <c r="B210" s="334"/>
      <c r="C210" s="217" t="s">
        <v>524</v>
      </c>
      <c r="D210" s="217" t="e">
        <f>ROUND(D208/D209,0)</f>
        <v>#VALUE!</v>
      </c>
      <c r="E210" s="144" t="s">
        <v>316</v>
      </c>
      <c r="F210" s="387"/>
      <c r="G210" s="388"/>
      <c r="H210" s="389"/>
    </row>
    <row r="211" spans="1:8" x14ac:dyDescent="0.35">
      <c r="A211" s="334" t="s">
        <v>515</v>
      </c>
      <c r="B211" s="334"/>
      <c r="C211" s="217" t="s">
        <v>524</v>
      </c>
      <c r="D211" s="218"/>
      <c r="E211" s="144" t="s">
        <v>316</v>
      </c>
      <c r="F211" s="387" t="str">
        <f>IF(D211="","",IF(D211&lt;D210,"Does not meet design criteria",IF(D211&lt;D209,"Does not meet design criteria","")))</f>
        <v/>
      </c>
      <c r="G211" s="388"/>
      <c r="H211" s="389"/>
    </row>
    <row r="212" spans="1:8" x14ac:dyDescent="0.35">
      <c r="A212" s="334" t="s">
        <v>543</v>
      </c>
      <c r="B212" s="334"/>
      <c r="C212" s="217" t="s">
        <v>536</v>
      </c>
      <c r="D212" s="43"/>
      <c r="E212" s="144" t="s">
        <v>2</v>
      </c>
      <c r="F212" s="387" t="s">
        <v>544</v>
      </c>
      <c r="G212" s="388"/>
      <c r="H212" s="389"/>
    </row>
    <row r="213" spans="1:8" x14ac:dyDescent="0.35">
      <c r="A213" s="289" t="s">
        <v>545</v>
      </c>
      <c r="B213" s="289"/>
      <c r="C213" s="198" t="s">
        <v>546</v>
      </c>
      <c r="D213" s="43"/>
      <c r="E213" s="193" t="s">
        <v>2</v>
      </c>
      <c r="F213" s="344" t="s">
        <v>547</v>
      </c>
      <c r="G213" s="344"/>
      <c r="H213" s="344"/>
    </row>
    <row r="214" spans="1:8" x14ac:dyDescent="0.35">
      <c r="A214" s="334" t="s">
        <v>540</v>
      </c>
      <c r="B214" s="334"/>
      <c r="C214" s="217" t="s">
        <v>303</v>
      </c>
      <c r="D214" s="198">
        <f>SUM(D212:D213)</f>
        <v>0</v>
      </c>
      <c r="E214" s="144" t="s">
        <v>2</v>
      </c>
      <c r="F214" s="387" t="str">
        <f>IF(D214=0,"",IF(D214&lt;F196,"Does not meet sizing criteria",""))</f>
        <v/>
      </c>
      <c r="G214" s="388"/>
      <c r="H214" s="389"/>
    </row>
    <row r="215" spans="1:8" ht="13" x14ac:dyDescent="0.35">
      <c r="A215" s="412" t="s">
        <v>372</v>
      </c>
      <c r="B215" s="412"/>
      <c r="C215" s="412"/>
      <c r="D215" s="412"/>
      <c r="E215" s="412"/>
      <c r="F215" s="412"/>
      <c r="G215" s="412"/>
      <c r="H215" s="412"/>
    </row>
    <row r="216" spans="1:8" ht="13" x14ac:dyDescent="0.35">
      <c r="A216" s="335" t="s">
        <v>241</v>
      </c>
      <c r="B216" s="335"/>
      <c r="C216" s="9" t="str">
        <f>IF(A196="","",IF(D200="Yes",0,IF(D198&lt;0.5,0,IF(D201="Yes",0,IF(D203&lt;2,0,IF(D204&lt;2,0,IF(AND(D198&lt;=10,D205&lt;(F196*0.25)),0,IF(AND(D198&gt;10,D205&lt;(F196*0.5)),0,IF(D214&lt;F196,0,F196*1)))))))))</f>
        <v/>
      </c>
      <c r="D216" s="339" t="s">
        <v>2</v>
      </c>
      <c r="E216" s="340"/>
      <c r="F216" s="340"/>
      <c r="G216" s="340"/>
      <c r="H216" s="341"/>
    </row>
    <row r="217" spans="1:8" ht="13" x14ac:dyDescent="0.35">
      <c r="A217" s="16" t="s">
        <v>56</v>
      </c>
      <c r="B217" s="225" t="str">
        <f>IF('STEP 2-WQv Calculation'!$B$4="","",'STEP 2-WQv Calculation'!$B$4)</f>
        <v/>
      </c>
    </row>
    <row r="218" spans="1:8" ht="13" x14ac:dyDescent="0.35">
      <c r="A218" s="236" t="s">
        <v>293</v>
      </c>
      <c r="B218" s="237"/>
      <c r="C218" s="237"/>
      <c r="D218" s="237"/>
      <c r="E218" s="237"/>
      <c r="F218" s="237"/>
      <c r="G218" s="237"/>
      <c r="H218" s="238"/>
    </row>
    <row r="219" spans="1:8" ht="38.5" x14ac:dyDescent="0.35">
      <c r="A219" s="204" t="s">
        <v>60</v>
      </c>
      <c r="B219" s="205" t="s">
        <v>61</v>
      </c>
      <c r="C219" s="205" t="s">
        <v>62</v>
      </c>
      <c r="D219" s="205" t="s">
        <v>63</v>
      </c>
      <c r="E219" s="205" t="s">
        <v>64</v>
      </c>
      <c r="F219" s="205" t="s">
        <v>65</v>
      </c>
      <c r="G219" s="205" t="s">
        <v>244</v>
      </c>
      <c r="H219" s="206" t="s">
        <v>13</v>
      </c>
    </row>
    <row r="220" spans="1:8" x14ac:dyDescent="0.35">
      <c r="A220" s="218"/>
      <c r="B220" s="3" t="str">
        <f>IF($A220="","",(LOOKUP($A220,'STEP 2-WQv Calculation'!$A$8:$A$37,'STEP 2-WQv Calculation'!$B$8:$B$37)))</f>
        <v/>
      </c>
      <c r="C220" s="3" t="str">
        <f>IF($A220="","",(LOOKUP($A220,'STEP 2-WQv Calculation'!$A$8:$A$37,'STEP 2-WQv Calculation'!$C$8:$C$37)))</f>
        <v/>
      </c>
      <c r="D220" s="212" t="str">
        <f>IF($A220="","",(LOOKUP($A220,'STEP 2-WQv Calculation'!$A$8:$A$37,'STEP 2-WQv Calculation'!$D$8:$D$37)))</f>
        <v/>
      </c>
      <c r="E220" s="3" t="str">
        <f>IF($A220="","",(LOOKUP($A220,'STEP 2-WQv Calculation'!$A$8:$A$37,'STEP 2-WQv Calculation'!$E$37:$E224)))</f>
        <v/>
      </c>
      <c r="F220" s="217" t="str">
        <f>IF($A220="","",(LOOKUP($A220,'STEP 2-WQv Calculation'!$A$8:$A$37,'STEP 2-WQv Calculation'!$F$8:$F$37)))</f>
        <v/>
      </c>
      <c r="G220" s="22">
        <f>'STEP 2-WQv Calculation'!B125</f>
        <v>0</v>
      </c>
      <c r="H220" s="198" t="str">
        <f>IF($A220="","",(LOOKUP($A220,'STEP 2-WQv Calculation'!$A$8:$A$37,'STEP 2-WQv Calculation'!$G$8:$G$37)))</f>
        <v/>
      </c>
    </row>
    <row r="221" spans="1:8" ht="13" x14ac:dyDescent="0.35">
      <c r="A221" s="409" t="s">
        <v>226</v>
      </c>
      <c r="B221" s="410"/>
      <c r="C221" s="410"/>
      <c r="D221" s="410"/>
      <c r="E221" s="410"/>
      <c r="F221" s="410"/>
      <c r="G221" s="410"/>
      <c r="H221" s="411"/>
    </row>
    <row r="222" spans="1:8" ht="23.15" customHeight="1" x14ac:dyDescent="0.35">
      <c r="A222" s="242" t="s">
        <v>295</v>
      </c>
      <c r="B222" s="243"/>
      <c r="C222" s="244"/>
      <c r="D222" s="44"/>
      <c r="E222" s="322" t="str">
        <f>IF(D222="","",IF(D222&lt;0.5,"Does not meet design criteria",""))</f>
        <v/>
      </c>
      <c r="F222" s="323"/>
      <c r="G222" s="323"/>
      <c r="H222" s="324"/>
    </row>
    <row r="223" spans="1:8" ht="23.15" customHeight="1" x14ac:dyDescent="0.35">
      <c r="A223" s="242" t="s">
        <v>717</v>
      </c>
      <c r="B223" s="243"/>
      <c r="C223" s="244"/>
      <c r="D223" s="211"/>
      <c r="E223" s="322" t="str">
        <f>IF(D223="Yes","Two treatment practices in series required. Refer to Section 6.3.1","")</f>
        <v/>
      </c>
      <c r="F223" s="323"/>
      <c r="G223" s="323"/>
      <c r="H223" s="324"/>
    </row>
    <row r="224" spans="1:8" ht="23.15" customHeight="1" x14ac:dyDescent="0.35">
      <c r="A224" s="242" t="s">
        <v>718</v>
      </c>
      <c r="B224" s="243"/>
      <c r="C224" s="244"/>
      <c r="D224" s="211"/>
      <c r="E224" s="322" t="str">
        <f>IF(D224="","See Section 4.14 of the Design Manual",IF(D224="Yes","Does not meet design criteria",""))</f>
        <v>See Section 4.14 of the Design Manual</v>
      </c>
      <c r="F224" s="323"/>
      <c r="G224" s="323"/>
      <c r="H224" s="324"/>
    </row>
    <row r="225" spans="1:8" ht="23.15" customHeight="1" x14ac:dyDescent="0.35">
      <c r="A225" s="242" t="s">
        <v>541</v>
      </c>
      <c r="B225" s="243"/>
      <c r="C225" s="244"/>
      <c r="D225" s="135" t="str">
        <f>IF(B220="","",IF(B220&gt;10,"Yes","No"))</f>
        <v/>
      </c>
      <c r="E225" s="322" t="str">
        <f>IF(D225="","",IF(D225="Yes","Does not meet design criteria",""))</f>
        <v/>
      </c>
      <c r="F225" s="323"/>
      <c r="G225" s="323"/>
      <c r="H225" s="324"/>
    </row>
    <row r="226" spans="1:8" ht="23.15" customHeight="1" x14ac:dyDescent="0.35">
      <c r="A226" s="242" t="s">
        <v>703</v>
      </c>
      <c r="B226" s="406"/>
      <c r="C226" s="407"/>
      <c r="D226" s="43"/>
      <c r="E226" s="322"/>
      <c r="F226" s="406"/>
      <c r="G226" s="406"/>
      <c r="H226" s="407"/>
    </row>
    <row r="227" spans="1:8" ht="23.15" customHeight="1" x14ac:dyDescent="0.35">
      <c r="A227" s="242" t="s">
        <v>296</v>
      </c>
      <c r="B227" s="243"/>
      <c r="C227" s="244"/>
      <c r="D227" s="43"/>
      <c r="E227" s="322" t="str">
        <f>IF(OR(AND(D226="Yes",D227&lt;4),AND(D226="No",D227&lt;2)),"Does not meet design criteria","")</f>
        <v/>
      </c>
      <c r="F227" s="323"/>
      <c r="G227" s="323"/>
      <c r="H227" s="324"/>
    </row>
    <row r="228" spans="1:8" ht="23.15" customHeight="1" x14ac:dyDescent="0.35">
      <c r="A228" s="242" t="s">
        <v>297</v>
      </c>
      <c r="B228" s="243"/>
      <c r="C228" s="244"/>
      <c r="D228" s="43"/>
      <c r="E228" s="322" t="str">
        <f>IF(D228="","",IF(D228&lt;2,"Does not meet design criteria",""))</f>
        <v/>
      </c>
      <c r="F228" s="323"/>
      <c r="G228" s="323"/>
      <c r="H228" s="324"/>
    </row>
    <row r="229" spans="1:8" ht="23.15" customHeight="1" x14ac:dyDescent="0.35">
      <c r="A229" s="242" t="s">
        <v>507</v>
      </c>
      <c r="B229" s="243"/>
      <c r="C229" s="244"/>
      <c r="D229" s="43"/>
      <c r="E229" s="322" t="str">
        <f>IF(D229="","",IF(AND(D222&lt;=10,D229&lt;(F220*0.25)),"Does not meet design criteria",IF(AND(D222&gt;10,D229&lt;(F220*0.5)),"Does not meet design criteria","")))</f>
        <v/>
      </c>
      <c r="F229" s="323"/>
      <c r="G229" s="323"/>
      <c r="H229" s="324"/>
    </row>
    <row r="230" spans="1:8" ht="13" x14ac:dyDescent="0.35">
      <c r="A230" s="409" t="s">
        <v>232</v>
      </c>
      <c r="B230" s="410"/>
      <c r="C230" s="410"/>
      <c r="D230" s="410"/>
      <c r="E230" s="410"/>
      <c r="F230" s="410"/>
      <c r="G230" s="410"/>
      <c r="H230" s="411"/>
    </row>
    <row r="231" spans="1:8" x14ac:dyDescent="0.35">
      <c r="A231" s="378"/>
      <c r="B231" s="379"/>
      <c r="C231" s="380"/>
      <c r="D231" s="222" t="s">
        <v>256</v>
      </c>
      <c r="E231" s="208" t="s">
        <v>257</v>
      </c>
      <c r="F231" s="375" t="s">
        <v>258</v>
      </c>
      <c r="G231" s="376"/>
      <c r="H231" s="377"/>
    </row>
    <row r="232" spans="1:8" x14ac:dyDescent="0.35">
      <c r="A232" s="289" t="s">
        <v>302</v>
      </c>
      <c r="B232" s="289"/>
      <c r="C232" s="198" t="s">
        <v>303</v>
      </c>
      <c r="D232" s="212" t="str">
        <f>F220</f>
        <v/>
      </c>
      <c r="E232" s="193" t="s">
        <v>2</v>
      </c>
      <c r="F232" s="344"/>
      <c r="G232" s="344"/>
      <c r="H232" s="344"/>
    </row>
    <row r="233" spans="1:8" x14ac:dyDescent="0.35">
      <c r="A233" s="289" t="s">
        <v>542</v>
      </c>
      <c r="B233" s="289"/>
      <c r="C233" s="198" t="s">
        <v>523</v>
      </c>
      <c r="D233" s="155"/>
      <c r="E233" s="193" t="s">
        <v>271</v>
      </c>
      <c r="F233" s="344"/>
      <c r="G233" s="344"/>
      <c r="H233" s="344"/>
    </row>
    <row r="234" spans="1:8" x14ac:dyDescent="0.35">
      <c r="A234" s="334" t="s">
        <v>513</v>
      </c>
      <c r="B234" s="334"/>
      <c r="C234" s="217" t="s">
        <v>524</v>
      </c>
      <c r="D234" s="217" t="e">
        <f>ROUND(D232/D233,0)</f>
        <v>#VALUE!</v>
      </c>
      <c r="E234" s="144" t="s">
        <v>316</v>
      </c>
      <c r="F234" s="387"/>
      <c r="G234" s="388"/>
      <c r="H234" s="389"/>
    </row>
    <row r="235" spans="1:8" x14ac:dyDescent="0.35">
      <c r="A235" s="334" t="s">
        <v>515</v>
      </c>
      <c r="B235" s="334"/>
      <c r="C235" s="217" t="s">
        <v>524</v>
      </c>
      <c r="D235" s="218"/>
      <c r="E235" s="144" t="s">
        <v>316</v>
      </c>
      <c r="F235" s="387" t="str">
        <f>IF(D235="","",IF(D235&lt;D234,"Does not meet design criteria",IF(D235&lt;D233,"Does not meet design criteria","")))</f>
        <v/>
      </c>
      <c r="G235" s="388"/>
      <c r="H235" s="389"/>
    </row>
    <row r="236" spans="1:8" x14ac:dyDescent="0.35">
      <c r="A236" s="334" t="s">
        <v>543</v>
      </c>
      <c r="B236" s="334"/>
      <c r="C236" s="217" t="s">
        <v>536</v>
      </c>
      <c r="D236" s="43"/>
      <c r="E236" s="144" t="s">
        <v>2</v>
      </c>
      <c r="F236" s="387" t="s">
        <v>544</v>
      </c>
      <c r="G236" s="388"/>
      <c r="H236" s="389"/>
    </row>
    <row r="237" spans="1:8" x14ac:dyDescent="0.35">
      <c r="A237" s="289" t="s">
        <v>545</v>
      </c>
      <c r="B237" s="289"/>
      <c r="C237" s="198" t="s">
        <v>546</v>
      </c>
      <c r="D237" s="43"/>
      <c r="E237" s="193" t="s">
        <v>2</v>
      </c>
      <c r="F237" s="344" t="s">
        <v>547</v>
      </c>
      <c r="G237" s="344"/>
      <c r="H237" s="344"/>
    </row>
    <row r="238" spans="1:8" x14ac:dyDescent="0.35">
      <c r="A238" s="334" t="s">
        <v>540</v>
      </c>
      <c r="B238" s="334"/>
      <c r="C238" s="217" t="s">
        <v>303</v>
      </c>
      <c r="D238" s="198">
        <f>SUM(D236:D237)</f>
        <v>0</v>
      </c>
      <c r="E238" s="144" t="s">
        <v>2</v>
      </c>
      <c r="F238" s="387" t="str">
        <f>IF(D238=0,"",IF(D238&lt;F220,"Does not meet sizing criteria",""))</f>
        <v/>
      </c>
      <c r="G238" s="388"/>
      <c r="H238" s="389"/>
    </row>
    <row r="239" spans="1:8" ht="13" x14ac:dyDescent="0.35">
      <c r="A239" s="412" t="s">
        <v>372</v>
      </c>
      <c r="B239" s="412"/>
      <c r="C239" s="412"/>
      <c r="D239" s="412"/>
      <c r="E239" s="412"/>
      <c r="F239" s="412"/>
      <c r="G239" s="412"/>
      <c r="H239" s="412"/>
    </row>
    <row r="240" spans="1:8" ht="13" x14ac:dyDescent="0.35">
      <c r="A240" s="335" t="s">
        <v>241</v>
      </c>
      <c r="B240" s="335"/>
      <c r="C240" s="9" t="str">
        <f>IF(A220="","",IF(D224="Yes",0,IF(D222&lt;0.5,0,IF(D225="Yes",0,IF(D227&lt;2,0,IF(D228&lt;2,0,IF(AND(D222&lt;=10,D229&lt;(F220*0.25)),0,IF(AND(D222&gt;10,D229&lt;(F220*0.5)),0,IF(D238&lt;F220,0,F220*1)))))))))</f>
        <v/>
      </c>
      <c r="D240" s="339" t="s">
        <v>2</v>
      </c>
      <c r="E240" s="340"/>
      <c r="F240" s="340"/>
      <c r="G240" s="340"/>
      <c r="H240" s="341"/>
    </row>
  </sheetData>
  <sheetProtection algorithmName="SHA-512" hashValue="ol/9efPGGtj+FVpdYnSwb7fpuTBfnlu/ls99nZUOshckZZZ8sL7h4Je+kdzZmosoZYj3Jjg2rqoAVSPxbQveNA==" saltValue="HytaBxHCl8C8Udaz2wIUEw==" spinCount="100000" sheet="1" formatColumns="0" formatRows="0"/>
  <mergeCells count="400">
    <mergeCell ref="A236:B236"/>
    <mergeCell ref="F236:H236"/>
    <mergeCell ref="A237:B237"/>
    <mergeCell ref="F237:H237"/>
    <mergeCell ref="A238:B238"/>
    <mergeCell ref="F238:H238"/>
    <mergeCell ref="A239:H239"/>
    <mergeCell ref="A240:B240"/>
    <mergeCell ref="D240:H240"/>
    <mergeCell ref="A231:C231"/>
    <mergeCell ref="F231:H231"/>
    <mergeCell ref="A232:B232"/>
    <mergeCell ref="F232:H232"/>
    <mergeCell ref="A233:B233"/>
    <mergeCell ref="F233:H233"/>
    <mergeCell ref="A234:B234"/>
    <mergeCell ref="F234:H234"/>
    <mergeCell ref="A235:B235"/>
    <mergeCell ref="F235:H235"/>
    <mergeCell ref="A226:C226"/>
    <mergeCell ref="E226:H226"/>
    <mergeCell ref="A227:C227"/>
    <mergeCell ref="E227:H227"/>
    <mergeCell ref="A228:C228"/>
    <mergeCell ref="E228:H228"/>
    <mergeCell ref="A229:C229"/>
    <mergeCell ref="E229:H229"/>
    <mergeCell ref="A230:H230"/>
    <mergeCell ref="A218:H218"/>
    <mergeCell ref="A221:H221"/>
    <mergeCell ref="A222:C222"/>
    <mergeCell ref="E222:H222"/>
    <mergeCell ref="A223:C223"/>
    <mergeCell ref="E223:H223"/>
    <mergeCell ref="A224:C224"/>
    <mergeCell ref="E224:H224"/>
    <mergeCell ref="A225:C225"/>
    <mergeCell ref="E225:H225"/>
    <mergeCell ref="A212:B212"/>
    <mergeCell ref="F212:H212"/>
    <mergeCell ref="A213:B213"/>
    <mergeCell ref="F213:H213"/>
    <mergeCell ref="A214:B214"/>
    <mergeCell ref="F214:H214"/>
    <mergeCell ref="A215:H215"/>
    <mergeCell ref="A216:B216"/>
    <mergeCell ref="D216:H216"/>
    <mergeCell ref="A207:C207"/>
    <mergeCell ref="F207:H207"/>
    <mergeCell ref="A208:B208"/>
    <mergeCell ref="F208:H208"/>
    <mergeCell ref="A209:B209"/>
    <mergeCell ref="F209:H209"/>
    <mergeCell ref="A210:B210"/>
    <mergeCell ref="F210:H210"/>
    <mergeCell ref="A211:B211"/>
    <mergeCell ref="F211:H211"/>
    <mergeCell ref="A202:C202"/>
    <mergeCell ref="E202:H202"/>
    <mergeCell ref="A203:C203"/>
    <mergeCell ref="E203:H203"/>
    <mergeCell ref="A204:C204"/>
    <mergeCell ref="E204:H204"/>
    <mergeCell ref="A205:C205"/>
    <mergeCell ref="E205:H205"/>
    <mergeCell ref="A206:H206"/>
    <mergeCell ref="A194:H194"/>
    <mergeCell ref="A197:H197"/>
    <mergeCell ref="A198:C198"/>
    <mergeCell ref="E198:H198"/>
    <mergeCell ref="A199:C199"/>
    <mergeCell ref="E199:H199"/>
    <mergeCell ref="A200:C200"/>
    <mergeCell ref="E200:H200"/>
    <mergeCell ref="A201:C201"/>
    <mergeCell ref="E201:H201"/>
    <mergeCell ref="A188:B188"/>
    <mergeCell ref="F188:H188"/>
    <mergeCell ref="A189:B189"/>
    <mergeCell ref="F189:H189"/>
    <mergeCell ref="A190:B190"/>
    <mergeCell ref="F190:H190"/>
    <mergeCell ref="A191:H191"/>
    <mergeCell ref="A192:B192"/>
    <mergeCell ref="D192:H192"/>
    <mergeCell ref="A183:C183"/>
    <mergeCell ref="F183:H183"/>
    <mergeCell ref="A184:B184"/>
    <mergeCell ref="F184:H184"/>
    <mergeCell ref="A185:B185"/>
    <mergeCell ref="F185:H185"/>
    <mergeCell ref="A186:B186"/>
    <mergeCell ref="F186:H186"/>
    <mergeCell ref="A187:B187"/>
    <mergeCell ref="F187:H187"/>
    <mergeCell ref="A178:C178"/>
    <mergeCell ref="E178:H178"/>
    <mergeCell ref="A179:C179"/>
    <mergeCell ref="E179:H179"/>
    <mergeCell ref="A180:C180"/>
    <mergeCell ref="E180:H180"/>
    <mergeCell ref="A181:C181"/>
    <mergeCell ref="E181:H181"/>
    <mergeCell ref="A182:H182"/>
    <mergeCell ref="A170:H170"/>
    <mergeCell ref="A173:H173"/>
    <mergeCell ref="A174:C174"/>
    <mergeCell ref="E174:H174"/>
    <mergeCell ref="A175:C175"/>
    <mergeCell ref="E175:H175"/>
    <mergeCell ref="A176:C176"/>
    <mergeCell ref="E176:H176"/>
    <mergeCell ref="A177:C177"/>
    <mergeCell ref="E177:H177"/>
    <mergeCell ref="A164:B164"/>
    <mergeCell ref="F164:H164"/>
    <mergeCell ref="A165:B165"/>
    <mergeCell ref="F165:H165"/>
    <mergeCell ref="A166:B166"/>
    <mergeCell ref="F166:H166"/>
    <mergeCell ref="A167:H167"/>
    <mergeCell ref="A168:B168"/>
    <mergeCell ref="D168:H168"/>
    <mergeCell ref="A159:C159"/>
    <mergeCell ref="F159:H159"/>
    <mergeCell ref="A160:B160"/>
    <mergeCell ref="F160:H160"/>
    <mergeCell ref="A161:B161"/>
    <mergeCell ref="F161:H161"/>
    <mergeCell ref="A162:B162"/>
    <mergeCell ref="F162:H162"/>
    <mergeCell ref="A163:B163"/>
    <mergeCell ref="F163:H163"/>
    <mergeCell ref="A154:C154"/>
    <mergeCell ref="E154:H154"/>
    <mergeCell ref="A155:C155"/>
    <mergeCell ref="E155:H155"/>
    <mergeCell ref="A156:C156"/>
    <mergeCell ref="E156:H156"/>
    <mergeCell ref="A157:C157"/>
    <mergeCell ref="E157:H157"/>
    <mergeCell ref="A158:H158"/>
    <mergeCell ref="A146:H146"/>
    <mergeCell ref="A149:H149"/>
    <mergeCell ref="A150:C150"/>
    <mergeCell ref="E150:H150"/>
    <mergeCell ref="A151:C151"/>
    <mergeCell ref="E151:H151"/>
    <mergeCell ref="A152:C152"/>
    <mergeCell ref="E152:H152"/>
    <mergeCell ref="A153:C153"/>
    <mergeCell ref="E153:H153"/>
    <mergeCell ref="A140:B140"/>
    <mergeCell ref="F140:H140"/>
    <mergeCell ref="A141:B141"/>
    <mergeCell ref="F141:H141"/>
    <mergeCell ref="A142:B142"/>
    <mergeCell ref="F142:H142"/>
    <mergeCell ref="A143:H143"/>
    <mergeCell ref="A144:B144"/>
    <mergeCell ref="D144:H144"/>
    <mergeCell ref="A135:C135"/>
    <mergeCell ref="F135:H135"/>
    <mergeCell ref="A136:B136"/>
    <mergeCell ref="F136:H136"/>
    <mergeCell ref="A137:B137"/>
    <mergeCell ref="F137:H137"/>
    <mergeCell ref="A138:B138"/>
    <mergeCell ref="F138:H138"/>
    <mergeCell ref="A139:B139"/>
    <mergeCell ref="F139:H139"/>
    <mergeCell ref="A130:C130"/>
    <mergeCell ref="E130:H130"/>
    <mergeCell ref="A131:C131"/>
    <mergeCell ref="E131:H131"/>
    <mergeCell ref="A132:C132"/>
    <mergeCell ref="E132:H132"/>
    <mergeCell ref="A133:C133"/>
    <mergeCell ref="E133:H133"/>
    <mergeCell ref="A134:H134"/>
    <mergeCell ref="A122:H122"/>
    <mergeCell ref="A125:H125"/>
    <mergeCell ref="A126:C126"/>
    <mergeCell ref="E126:H126"/>
    <mergeCell ref="A127:C127"/>
    <mergeCell ref="E127:H127"/>
    <mergeCell ref="A128:C128"/>
    <mergeCell ref="E128:H128"/>
    <mergeCell ref="A129:C129"/>
    <mergeCell ref="E129:H129"/>
    <mergeCell ref="A10:C10"/>
    <mergeCell ref="E10:H10"/>
    <mergeCell ref="A34:C34"/>
    <mergeCell ref="E34:H34"/>
    <mergeCell ref="A58:C58"/>
    <mergeCell ref="E58:H58"/>
    <mergeCell ref="A82:C82"/>
    <mergeCell ref="E82:H82"/>
    <mergeCell ref="A106:C106"/>
    <mergeCell ref="E106:H106"/>
    <mergeCell ref="A91:B91"/>
    <mergeCell ref="F91:H91"/>
    <mergeCell ref="A92:B92"/>
    <mergeCell ref="F92:H92"/>
    <mergeCell ref="A93:B93"/>
    <mergeCell ref="F93:H93"/>
    <mergeCell ref="A94:B94"/>
    <mergeCell ref="F94:H94"/>
    <mergeCell ref="A79:C79"/>
    <mergeCell ref="E79:H79"/>
    <mergeCell ref="A80:C80"/>
    <mergeCell ref="E80:H80"/>
    <mergeCell ref="A81:C81"/>
    <mergeCell ref="E81:H81"/>
    <mergeCell ref="A117:B117"/>
    <mergeCell ref="F117:H117"/>
    <mergeCell ref="A118:B118"/>
    <mergeCell ref="F118:H118"/>
    <mergeCell ref="A119:H119"/>
    <mergeCell ref="A120:B120"/>
    <mergeCell ref="D120:H120"/>
    <mergeCell ref="A112:B112"/>
    <mergeCell ref="F112:H112"/>
    <mergeCell ref="A113:B113"/>
    <mergeCell ref="F113:H113"/>
    <mergeCell ref="A114:B114"/>
    <mergeCell ref="F114:H114"/>
    <mergeCell ref="A115:B115"/>
    <mergeCell ref="F115:H115"/>
    <mergeCell ref="A116:B116"/>
    <mergeCell ref="F116:H116"/>
    <mergeCell ref="A107:C107"/>
    <mergeCell ref="E107:H107"/>
    <mergeCell ref="A108:C108"/>
    <mergeCell ref="E108:H108"/>
    <mergeCell ref="A109:C109"/>
    <mergeCell ref="E109:H109"/>
    <mergeCell ref="A110:H110"/>
    <mergeCell ref="A111:C111"/>
    <mergeCell ref="F111:H111"/>
    <mergeCell ref="I99:N99"/>
    <mergeCell ref="I100:N100"/>
    <mergeCell ref="A101:H101"/>
    <mergeCell ref="I101:N101"/>
    <mergeCell ref="A102:C102"/>
    <mergeCell ref="E102:H102"/>
    <mergeCell ref="A103:C103"/>
    <mergeCell ref="E103:H103"/>
    <mergeCell ref="A105:C105"/>
    <mergeCell ref="E105:H105"/>
    <mergeCell ref="I98:N98"/>
    <mergeCell ref="A85:C85"/>
    <mergeCell ref="A86:H86"/>
    <mergeCell ref="A87:C87"/>
    <mergeCell ref="F87:H87"/>
    <mergeCell ref="A88:B88"/>
    <mergeCell ref="F88:H88"/>
    <mergeCell ref="A89:B89"/>
    <mergeCell ref="F89:H89"/>
    <mergeCell ref="A90:B90"/>
    <mergeCell ref="F90:H90"/>
    <mergeCell ref="A83:C83"/>
    <mergeCell ref="E83:H83"/>
    <mergeCell ref="A84:C84"/>
    <mergeCell ref="E84:H84"/>
    <mergeCell ref="A71:H71"/>
    <mergeCell ref="A72:B72"/>
    <mergeCell ref="D72:H72"/>
    <mergeCell ref="A74:H74"/>
    <mergeCell ref="I74:N74"/>
    <mergeCell ref="I75:N75"/>
    <mergeCell ref="I76:N76"/>
    <mergeCell ref="I77:N77"/>
    <mergeCell ref="E78:H78"/>
    <mergeCell ref="A26:H26"/>
    <mergeCell ref="A29:H29"/>
    <mergeCell ref="A30:C30"/>
    <mergeCell ref="I50:N50"/>
    <mergeCell ref="I51:N51"/>
    <mergeCell ref="I52:N52"/>
    <mergeCell ref="A53:H53"/>
    <mergeCell ref="I53:N53"/>
    <mergeCell ref="A57:C57"/>
    <mergeCell ref="E57:H57"/>
    <mergeCell ref="A54:C54"/>
    <mergeCell ref="E54:H54"/>
    <mergeCell ref="A55:C55"/>
    <mergeCell ref="E55:H55"/>
    <mergeCell ref="I28:N28"/>
    <mergeCell ref="I29:N29"/>
    <mergeCell ref="A43:B43"/>
    <mergeCell ref="F43:H43"/>
    <mergeCell ref="F44:H44"/>
    <mergeCell ref="F45:H45"/>
    <mergeCell ref="A46:B46"/>
    <mergeCell ref="F46:H46"/>
    <mergeCell ref="A37:C37"/>
    <mergeCell ref="E37:H37"/>
    <mergeCell ref="A38:H38"/>
    <mergeCell ref="A39:C39"/>
    <mergeCell ref="F39:H39"/>
    <mergeCell ref="A33:C33"/>
    <mergeCell ref="E33:H33"/>
    <mergeCell ref="A35:C35"/>
    <mergeCell ref="E35:H35"/>
    <mergeCell ref="A36:C36"/>
    <mergeCell ref="E36:H36"/>
    <mergeCell ref="I2:N2"/>
    <mergeCell ref="I3:N3"/>
    <mergeCell ref="I4:N4"/>
    <mergeCell ref="I5:N5"/>
    <mergeCell ref="E85:H85"/>
    <mergeCell ref="E104:H104"/>
    <mergeCell ref="A104:C104"/>
    <mergeCell ref="A95:H95"/>
    <mergeCell ref="A96:B96"/>
    <mergeCell ref="D96:H96"/>
    <mergeCell ref="A98:H98"/>
    <mergeCell ref="A77:H77"/>
    <mergeCell ref="A78:C78"/>
    <mergeCell ref="A64:B64"/>
    <mergeCell ref="A65:B65"/>
    <mergeCell ref="A63:C63"/>
    <mergeCell ref="F63:H63"/>
    <mergeCell ref="F64:H64"/>
    <mergeCell ref="F65:H65"/>
    <mergeCell ref="A66:B66"/>
    <mergeCell ref="F66:H66"/>
    <mergeCell ref="A67:B67"/>
    <mergeCell ref="I26:N26"/>
    <mergeCell ref="I27:N27"/>
    <mergeCell ref="F67:H67"/>
    <mergeCell ref="A68:B68"/>
    <mergeCell ref="F68:H68"/>
    <mergeCell ref="A69:B69"/>
    <mergeCell ref="F69:H69"/>
    <mergeCell ref="A70:B70"/>
    <mergeCell ref="A56:C56"/>
    <mergeCell ref="E56:H56"/>
    <mergeCell ref="A59:C59"/>
    <mergeCell ref="A61:C61"/>
    <mergeCell ref="E61:H61"/>
    <mergeCell ref="A62:H62"/>
    <mergeCell ref="F70:H70"/>
    <mergeCell ref="E59:H59"/>
    <mergeCell ref="A60:C60"/>
    <mergeCell ref="E60:H60"/>
    <mergeCell ref="A47:H47"/>
    <mergeCell ref="A48:B48"/>
    <mergeCell ref="D48:H48"/>
    <mergeCell ref="A50:H50"/>
    <mergeCell ref="A44:B44"/>
    <mergeCell ref="A45:B45"/>
    <mergeCell ref="A40:B40"/>
    <mergeCell ref="F40:H40"/>
    <mergeCell ref="A41:B41"/>
    <mergeCell ref="F41:H41"/>
    <mergeCell ref="A42:B42"/>
    <mergeCell ref="F42:H42"/>
    <mergeCell ref="E30:H30"/>
    <mergeCell ref="A31:C31"/>
    <mergeCell ref="E31:H31"/>
    <mergeCell ref="A32:C32"/>
    <mergeCell ref="E32:H32"/>
    <mergeCell ref="A2:H2"/>
    <mergeCell ref="A5:H5"/>
    <mergeCell ref="A6:C6"/>
    <mergeCell ref="E6:H6"/>
    <mergeCell ref="A7:C7"/>
    <mergeCell ref="E7:H7"/>
    <mergeCell ref="A13:C13"/>
    <mergeCell ref="E13:H13"/>
    <mergeCell ref="A9:C9"/>
    <mergeCell ref="E9:H9"/>
    <mergeCell ref="A11:C11"/>
    <mergeCell ref="E11:H11"/>
    <mergeCell ref="A12:C12"/>
    <mergeCell ref="E12:H12"/>
    <mergeCell ref="A8:C8"/>
    <mergeCell ref="E8:H8"/>
    <mergeCell ref="A23:H23"/>
    <mergeCell ref="A24:B24"/>
    <mergeCell ref="D24:H24"/>
    <mergeCell ref="A22:B22"/>
    <mergeCell ref="F22:H22"/>
    <mergeCell ref="A14:H14"/>
    <mergeCell ref="A15:C15"/>
    <mergeCell ref="F15:H15"/>
    <mergeCell ref="A20:B20"/>
    <mergeCell ref="F20:H20"/>
    <mergeCell ref="A21:B21"/>
    <mergeCell ref="F21:H21"/>
    <mergeCell ref="A16:B16"/>
    <mergeCell ref="F16:H16"/>
    <mergeCell ref="A17:B17"/>
    <mergeCell ref="F17:H17"/>
    <mergeCell ref="A18:B18"/>
    <mergeCell ref="F18:H18"/>
    <mergeCell ref="A19:B19"/>
    <mergeCell ref="F19:H19"/>
  </mergeCells>
  <dataValidations disablePrompts="1" count="3">
    <dataValidation type="list" showInputMessage="1" showErrorMessage="1" promptTitle="Yes or No?" sqref="D7:D8 D106 D31:D32 D55:D56 D79:D80 D10 D34 D58 D82 D103:D104 D130 D127:D128 D154 D151:D152 D178 D175:D176 D202 D199:D200 D226 D223:D224" xr:uid="{7DFBF0BB-2DBC-48A1-94C3-A187B20F29F6}">
      <formula1>YesNo</formula1>
    </dataValidation>
    <dataValidation type="list" showInputMessage="1" showErrorMessage="1" promptTitle="Choose Area" sqref="A4 A28 A52 A76 A100 A124 A148 A172 A196 A220" xr:uid="{FB7D41BE-9D59-42F4-9775-141BFD003086}">
      <formula1>CatchNo</formula1>
    </dataValidation>
    <dataValidation type="decimal" operator="greaterThan" allowBlank="1" showInputMessage="1" showErrorMessage="1" sqref="D6 D11:D13 D17 D19:D21 D30 D35:D37 D41 D43:D45 D54 D59:D61 D65 D67:D69 D78 D83:D85 D89 D91:D93 D102 D107:D109 D113 D115:D117 D126 D131:D133 D137 D139:D141 D150 D155:D157 D161 D163:D165 D174 D179:D181 D185 D187:D189 D198 D203:D205 D209 D211:D213 D222 D227:D229 D233 D235:D237" xr:uid="{CB0DBE8F-60E4-447E-AFC0-D8E74961DE70}">
      <formula1>0</formula1>
    </dataValidation>
  </dataValidations>
  <pageMargins left="0.5" right="0.5" top="0.75" bottom="0.5" header="0.3" footer="0.3"/>
  <pageSetup paperSize="278" scale="76" orientation="portrait" r:id="rId1"/>
  <headerFooter>
    <oddHeader>&amp;C&amp;"Arial,Regular"&amp;18Underground Infiltration (I-4)</oddHeader>
  </headerFooter>
  <rowBreaks count="10" manualBreakCount="10">
    <brk id="24" max="16383" man="1"/>
    <brk id="48" max="16383" man="1"/>
    <brk id="72" max="16383" man="1"/>
    <brk id="96" max="15" man="1"/>
    <brk id="120" max="16383" man="1"/>
    <brk id="144" max="16383" man="1"/>
    <brk id="168" max="16383" man="1"/>
    <brk id="192" max="16383" man="1"/>
    <brk id="216" max="16383" man="1"/>
    <brk id="240" max="16383" man="1"/>
  </rowBreaks>
  <colBreaks count="1" manualBreakCount="1">
    <brk id="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3E78B-3F07-4960-B910-FFEEB5848FB1}">
  <dimension ref="A1:Q223"/>
  <sheetViews>
    <sheetView view="pageLayout" zoomScaleNormal="100" workbookViewId="0">
      <selection activeCell="K10" sqref="K10"/>
    </sheetView>
  </sheetViews>
  <sheetFormatPr defaultColWidth="9.1796875" defaultRowHeight="12.5" x14ac:dyDescent="0.35"/>
  <cols>
    <col min="1" max="1" width="12.7265625" style="12" customWidth="1"/>
    <col min="2" max="2" width="18.54296875" style="12" customWidth="1"/>
    <col min="3" max="3" width="14.1796875" style="12" customWidth="1"/>
    <col min="4" max="4" width="10.7265625" style="12" customWidth="1"/>
    <col min="5" max="5" width="7.54296875" style="12" customWidth="1"/>
    <col min="6" max="6" width="6.7265625" style="12" customWidth="1"/>
    <col min="7" max="7" width="12.453125" style="12" customWidth="1"/>
    <col min="8" max="8" width="12.54296875" style="12" customWidth="1"/>
    <col min="9" max="16384" width="9.1796875" style="12"/>
  </cols>
  <sheetData>
    <row r="1" spans="1:17" ht="18" customHeight="1" x14ac:dyDescent="0.35">
      <c r="A1" s="16" t="s">
        <v>56</v>
      </c>
      <c r="B1" s="225" t="str">
        <f>IF('STEP 2-WQv Calculation'!$B$4="","",'STEP 2-WQv Calculation'!$B$4)</f>
        <v/>
      </c>
      <c r="C1" s="199"/>
      <c r="D1" s="199"/>
      <c r="E1" s="199"/>
      <c r="F1" s="199"/>
      <c r="G1" s="199"/>
      <c r="H1" s="199"/>
      <c r="I1" s="408" t="s">
        <v>136</v>
      </c>
      <c r="J1" s="397"/>
      <c r="K1" s="397"/>
      <c r="L1" s="397"/>
      <c r="N1" s="408" t="s">
        <v>138</v>
      </c>
      <c r="O1" s="397"/>
      <c r="P1" s="397"/>
      <c r="Q1" s="397"/>
    </row>
    <row r="2" spans="1:17" ht="13" x14ac:dyDescent="0.35">
      <c r="A2" s="241" t="s">
        <v>293</v>
      </c>
      <c r="B2" s="241"/>
      <c r="C2" s="241"/>
      <c r="D2" s="241"/>
      <c r="E2" s="241"/>
      <c r="F2" s="241"/>
      <c r="G2" s="241"/>
      <c r="H2" s="236"/>
      <c r="I2" s="255" t="s">
        <v>219</v>
      </c>
      <c r="J2" s="256"/>
      <c r="K2" s="49">
        <f>SUM(K3:K7)</f>
        <v>0</v>
      </c>
      <c r="L2" s="12" t="s">
        <v>223</v>
      </c>
      <c r="N2" s="255" t="s">
        <v>219</v>
      </c>
      <c r="O2" s="256"/>
      <c r="P2" s="49">
        <f>SUM(P3:P7)</f>
        <v>0</v>
      </c>
      <c r="Q2" s="12" t="s">
        <v>223</v>
      </c>
    </row>
    <row r="3" spans="1:17" ht="46.75" customHeight="1" x14ac:dyDescent="0.35">
      <c r="A3" s="204" t="s">
        <v>60</v>
      </c>
      <c r="B3" s="205" t="s">
        <v>61</v>
      </c>
      <c r="C3" s="205" t="s">
        <v>62</v>
      </c>
      <c r="D3" s="205" t="s">
        <v>63</v>
      </c>
      <c r="E3" s="205" t="s">
        <v>64</v>
      </c>
      <c r="F3" s="205" t="s">
        <v>65</v>
      </c>
      <c r="G3" s="205" t="s">
        <v>244</v>
      </c>
      <c r="H3" s="205" t="s">
        <v>13</v>
      </c>
      <c r="I3" s="149"/>
      <c r="K3" s="12">
        <f>IF($D$5="Surface Sand Filter",$B$4,0)</f>
        <v>0</v>
      </c>
      <c r="L3" s="12" t="s">
        <v>223</v>
      </c>
      <c r="N3" s="149"/>
      <c r="P3" s="12">
        <f>IF($D$5="Underground Sand Filter",$B$4,0)</f>
        <v>0</v>
      </c>
      <c r="Q3" s="12" t="s">
        <v>223</v>
      </c>
    </row>
    <row r="4" spans="1:17" ht="30.25" customHeight="1" x14ac:dyDescent="0.35">
      <c r="A4" s="218"/>
      <c r="B4" s="3" t="str">
        <f>IF($A4="","",(LOOKUP($A4,'STEP 2-WQv Calculation'!$A$8:$A$37,'STEP 2-WQv Calculation'!$B$8:$B$37)))</f>
        <v/>
      </c>
      <c r="C4" s="3" t="str">
        <f>IF($A4="","",(LOOKUP($A4,'STEP 2-WQv Calculation'!$A$8:$A$37,'STEP 2-WQv Calculation'!$C$8:$C$37)))</f>
        <v/>
      </c>
      <c r="D4" s="212" t="str">
        <f>IF($A4="","",(LOOKUP($A4,'STEP 2-WQv Calculation'!$A$8:$A$37,'STEP 2-WQv Calculation'!$D$8:$D$37)))</f>
        <v/>
      </c>
      <c r="E4" s="3" t="str">
        <f>IF($A4="","",(LOOKUP($A4,'STEP 2-WQv Calculation'!$A$8:$A$37,'STEP 2-WQv Calculation'!$E$8:$E$37)))</f>
        <v/>
      </c>
      <c r="F4" s="217" t="str">
        <f>IF($A4="","",(LOOKUP($A4,'STEP 2-WQv Calculation'!$A$8:$A$37,'STEP 2-WQv Calculation'!$F$8:$F$37)))</f>
        <v/>
      </c>
      <c r="G4" s="22">
        <f>'STEP 2-WQv Calculation'!B5</f>
        <v>0</v>
      </c>
      <c r="H4" s="195" t="str">
        <f>IF($A4="","",(LOOKUP($A4,'STEP 2-WQv Calculation'!$A$8:$A$37,'STEP 2-WQv Calculation'!$G$8:$G$37)))</f>
        <v/>
      </c>
      <c r="I4" s="149"/>
      <c r="K4" s="12" t="str">
        <f>IF($D$49="Surface Sand Filter",$B$48,0)</f>
        <v/>
      </c>
      <c r="L4" s="12" t="s">
        <v>223</v>
      </c>
      <c r="N4" s="149"/>
      <c r="P4" s="12">
        <f>IF($D$49="Underground Sand Filter",$B$48,0)</f>
        <v>0</v>
      </c>
      <c r="Q4" s="12" t="s">
        <v>223</v>
      </c>
    </row>
    <row r="5" spans="1:17" s="1" customFormat="1" ht="15" customHeight="1" x14ac:dyDescent="0.35">
      <c r="A5" s="322" t="s">
        <v>548</v>
      </c>
      <c r="B5" s="323"/>
      <c r="C5" s="324"/>
      <c r="D5" s="364"/>
      <c r="E5" s="365"/>
      <c r="F5" s="365"/>
      <c r="G5" s="365"/>
      <c r="H5" s="365"/>
      <c r="I5" s="148"/>
      <c r="K5" s="12" t="str">
        <f>IF($D$98="Surface Sand Filter",$B$97,0)</f>
        <v/>
      </c>
      <c r="L5" s="12" t="s">
        <v>223</v>
      </c>
      <c r="N5" s="148"/>
      <c r="P5" s="12">
        <f>IF($D$98="Underground Sand Filter",$B$97,0)</f>
        <v>0</v>
      </c>
      <c r="Q5" s="12" t="s">
        <v>223</v>
      </c>
    </row>
    <row r="6" spans="1:17" s="1" customFormat="1" ht="15" customHeight="1" x14ac:dyDescent="0.35">
      <c r="A6" s="273" t="s">
        <v>226</v>
      </c>
      <c r="B6" s="273"/>
      <c r="C6" s="273"/>
      <c r="D6" s="273"/>
      <c r="E6" s="273"/>
      <c r="F6" s="273"/>
      <c r="G6" s="273"/>
      <c r="H6" s="248"/>
      <c r="I6" s="148"/>
      <c r="K6" s="12" t="str">
        <f>IF($D$147="Surface Sand Filter",$B$146,0)</f>
        <v/>
      </c>
      <c r="L6" s="12" t="s">
        <v>223</v>
      </c>
      <c r="N6" s="148"/>
      <c r="P6" s="12">
        <f>IF($D$147="Underground Sand Filter",$B$146,0)</f>
        <v>0</v>
      </c>
      <c r="Q6" s="12" t="s">
        <v>223</v>
      </c>
    </row>
    <row r="7" spans="1:17" s="1" customFormat="1" ht="15" customHeight="1" x14ac:dyDescent="0.35">
      <c r="A7" s="242" t="s">
        <v>494</v>
      </c>
      <c r="B7" s="243"/>
      <c r="C7" s="244"/>
      <c r="D7" s="227" t="str">
        <f>IF(B4="","",IF(AND(D5="Surface Sand Filter",B4&gt;10),"Yes",IF(AND(D5="Underground Sand Filter",B4&gt;2),"Yes",IF(AND(D5="Perimeter Sand Filter",B4&gt;2),"Yes","No"))))</f>
        <v/>
      </c>
      <c r="E7" s="401" t="str">
        <f>IF(D7="Yes","Does not meet feasibility criteria","")</f>
        <v/>
      </c>
      <c r="F7" s="402"/>
      <c r="G7" s="402"/>
      <c r="H7" s="402"/>
      <c r="I7" s="148"/>
      <c r="K7" s="12" t="str">
        <f>IF($D$196="Surface Sand Filter",$B$195,0)</f>
        <v/>
      </c>
      <c r="L7" s="12" t="s">
        <v>223</v>
      </c>
      <c r="N7" s="148"/>
      <c r="P7" s="12">
        <f>IF($D$196="Underground Sand Filter",$B$195,0)</f>
        <v>0</v>
      </c>
      <c r="Q7" s="12" t="s">
        <v>223</v>
      </c>
    </row>
    <row r="8" spans="1:17" s="1" customFormat="1" ht="14.5" x14ac:dyDescent="0.35">
      <c r="A8" s="242" t="s">
        <v>296</v>
      </c>
      <c r="B8" s="243"/>
      <c r="C8" s="244"/>
      <c r="D8" s="43"/>
      <c r="E8" s="401" t="str">
        <f>IF(D8="","",IF(AND(D8&lt;2,D5="Surface Sand Filter"),"Impermeable liner shall be provided",IF(AND(D8&lt;2,D5="Underground Sand Filter"),"Does not meet design criteria",IF(AND(D8&lt;2,D5="Perimeter Sand Filter"),"Does not meet design criteria",""))))</f>
        <v/>
      </c>
      <c r="F8" s="402"/>
      <c r="G8" s="402"/>
      <c r="H8" s="402"/>
      <c r="I8" s="255" t="s">
        <v>245</v>
      </c>
      <c r="J8" s="256"/>
      <c r="K8" s="21">
        <f>SUM(K9:K13)</f>
        <v>0</v>
      </c>
      <c r="L8" s="12" t="s">
        <v>223</v>
      </c>
      <c r="N8" s="255" t="s">
        <v>245</v>
      </c>
      <c r="O8" s="256"/>
      <c r="P8" s="21">
        <f>SUM(P9:P13)</f>
        <v>0</v>
      </c>
      <c r="Q8" s="12" t="s">
        <v>223</v>
      </c>
    </row>
    <row r="9" spans="1:17" s="1" customFormat="1" ht="15.65" customHeight="1" x14ac:dyDescent="0.35">
      <c r="A9" s="242" t="s">
        <v>297</v>
      </c>
      <c r="B9" s="243"/>
      <c r="C9" s="244"/>
      <c r="D9" s="43"/>
      <c r="E9" s="401" t="str">
        <f>IF(D9="","",IF(AND(D9&lt;2,D5="Surface Sand Filter"),"Impermeable liner shall be provided",IF(AND(D9&lt;2,D5="Underground Sand Filter"),"Does not meet design criteria",IF(AND(D9&lt;2,D5="Perimeter Sand Filter"),"Does not meet design criteria",""))))</f>
        <v/>
      </c>
      <c r="F9" s="402"/>
      <c r="G9" s="402"/>
      <c r="H9" s="402"/>
      <c r="I9" s="156"/>
      <c r="K9" s="12">
        <f>IF($D$5="Surface Sand Filter",$C$4,0)</f>
        <v>0</v>
      </c>
      <c r="L9" s="12" t="s">
        <v>223</v>
      </c>
      <c r="N9" s="156"/>
      <c r="P9" s="12">
        <f>IF($D$5="Underground Sand Filter",$C$4,0)</f>
        <v>0</v>
      </c>
      <c r="Q9" s="12" t="s">
        <v>223</v>
      </c>
    </row>
    <row r="10" spans="1:17" s="1" customFormat="1" ht="15.65" customHeight="1" x14ac:dyDescent="0.35">
      <c r="A10" s="242" t="s">
        <v>549</v>
      </c>
      <c r="B10" s="243"/>
      <c r="C10" s="244"/>
      <c r="D10" s="211"/>
      <c r="E10" s="401" t="str">
        <f>IF(D10="","",IF(D10=0,"","Does not meet design criteria"))</f>
        <v/>
      </c>
      <c r="F10" s="402"/>
      <c r="G10" s="402"/>
      <c r="H10" s="402"/>
      <c r="I10" s="148"/>
      <c r="K10" s="12" t="str">
        <f>IF($D$49="Surface Sand Filter",$C$48,0)</f>
        <v/>
      </c>
      <c r="L10" s="12" t="s">
        <v>223</v>
      </c>
      <c r="N10" s="148"/>
      <c r="P10" s="12">
        <f>IF($D$49="Underground Sand Filter",$C$48,0)</f>
        <v>0</v>
      </c>
      <c r="Q10" s="12" t="s">
        <v>223</v>
      </c>
    </row>
    <row r="11" spans="1:17" s="1" customFormat="1" ht="15.65" customHeight="1" x14ac:dyDescent="0.35">
      <c r="A11" s="242" t="s">
        <v>550</v>
      </c>
      <c r="B11" s="243"/>
      <c r="C11" s="244"/>
      <c r="D11" s="43"/>
      <c r="E11" s="401" t="str">
        <f>IF(D11="","",IF(D11=0,"","Does not meet design criteria"))</f>
        <v/>
      </c>
      <c r="F11" s="402"/>
      <c r="G11" s="402"/>
      <c r="H11" s="402"/>
      <c r="I11" s="148"/>
      <c r="K11" s="12" t="str">
        <f>IF($D$98="Surface Sand Filter",$C$97,0)</f>
        <v/>
      </c>
      <c r="L11" s="12" t="s">
        <v>223</v>
      </c>
      <c r="N11" s="148"/>
      <c r="P11" s="12">
        <f>IF($D$98="Underground Sand Filter",$C$97,0)</f>
        <v>0</v>
      </c>
      <c r="Q11" s="12" t="s">
        <v>223</v>
      </c>
    </row>
    <row r="12" spans="1:17" s="1" customFormat="1" ht="15" customHeight="1" x14ac:dyDescent="0.35">
      <c r="A12" s="242" t="s">
        <v>551</v>
      </c>
      <c r="B12" s="243"/>
      <c r="C12" s="244"/>
      <c r="D12" s="211"/>
      <c r="E12" s="401" t="str">
        <f>IF(AND(D5="Surface Sand Filter",D12="Yes"),"Impermeable liner shall be provided",IF(AND(D5="Underground Sand Filter",D12="Yes"),"Does not meet design criteria",IF(AND(D5="Perimeter Sand Filter",D12="Yes"),"Does not meet design criteria","")))</f>
        <v/>
      </c>
      <c r="F12" s="402"/>
      <c r="G12" s="402"/>
      <c r="H12" s="402"/>
      <c r="I12" s="148"/>
      <c r="K12" s="12" t="str">
        <f>IF($D$147="Surface Sand Filter",$C$146,0)</f>
        <v/>
      </c>
      <c r="L12" s="12" t="s">
        <v>223</v>
      </c>
      <c r="N12" s="148"/>
      <c r="P12" s="12">
        <f>IF($D$147="Underground Sand Filter",$C$146,0)</f>
        <v>0</v>
      </c>
      <c r="Q12" s="12" t="s">
        <v>223</v>
      </c>
    </row>
    <row r="13" spans="1:17" s="1" customFormat="1" ht="15" customHeight="1" x14ac:dyDescent="0.35">
      <c r="A13" s="242" t="s">
        <v>443</v>
      </c>
      <c r="B13" s="243"/>
      <c r="C13" s="244"/>
      <c r="D13" s="211"/>
      <c r="E13" s="322" t="str">
        <f>IF(AND(D5="Underground Sand Filter",D13=""),"Not Applicable",IF(AND(D5="Perimeter Sand Filter",D13=""),"Not Applicable",IF(AND(D5="Surface Sand Filter",D13="No",OR(E8="Impermeable liner shall be provided",E9="Impermeable liner shall be provided")),"Does not meet design criteria",IF(AND(D5="Surface Sand Filter",D12="Yes",D13="No"),"Does not meet design criteria",""))))</f>
        <v/>
      </c>
      <c r="F13" s="323"/>
      <c r="G13" s="323"/>
      <c r="H13" s="323"/>
      <c r="I13" s="148"/>
      <c r="K13" s="12" t="str">
        <f>IF($D$196="Surface Sand Filter",$C$195,0)</f>
        <v/>
      </c>
      <c r="L13" s="12" t="s">
        <v>223</v>
      </c>
      <c r="N13" s="148"/>
      <c r="P13" s="12">
        <f>IF($D$196="Underground Sand Filter",$C$195,0)</f>
        <v>0</v>
      </c>
      <c r="Q13" s="12" t="s">
        <v>223</v>
      </c>
    </row>
    <row r="14" spans="1:17" s="1" customFormat="1" ht="15" customHeight="1" x14ac:dyDescent="0.35">
      <c r="A14" s="242" t="s">
        <v>552</v>
      </c>
      <c r="B14" s="243"/>
      <c r="C14" s="244"/>
      <c r="D14" s="211"/>
      <c r="E14" s="322" t="str">
        <f>IF(D14="","",IF(D14="No","Does not meet design criteria",""))</f>
        <v/>
      </c>
      <c r="F14" s="323"/>
      <c r="G14" s="323"/>
      <c r="H14" s="323"/>
      <c r="I14" s="255" t="s">
        <v>447</v>
      </c>
      <c r="J14" s="256"/>
      <c r="K14" s="28">
        <f>SUM(K15:K19)</f>
        <v>0</v>
      </c>
      <c r="L14" s="12" t="s">
        <v>2</v>
      </c>
      <c r="N14" s="255" t="s">
        <v>447</v>
      </c>
      <c r="O14" s="256"/>
      <c r="P14" s="28">
        <f>SUM(P15:P19)</f>
        <v>0</v>
      </c>
      <c r="Q14" s="12" t="s">
        <v>2</v>
      </c>
    </row>
    <row r="15" spans="1:17" s="1" customFormat="1" ht="15" customHeight="1" x14ac:dyDescent="0.35">
      <c r="A15" s="242" t="s">
        <v>553</v>
      </c>
      <c r="B15" s="243"/>
      <c r="C15" s="244"/>
      <c r="D15" s="211"/>
      <c r="E15" s="322" t="str">
        <f>IF(D15="","",IF(D15="No","Does not meet design criteria",""))</f>
        <v/>
      </c>
      <c r="F15" s="323"/>
      <c r="G15" s="323"/>
      <c r="H15" s="323"/>
      <c r="I15" s="148"/>
      <c r="K15" s="12">
        <f>IF($D$5="Surface Sand Filter",$D$32,0)</f>
        <v>0</v>
      </c>
      <c r="L15" s="12" t="s">
        <v>2</v>
      </c>
      <c r="N15" s="148"/>
      <c r="P15" s="12">
        <f>IF($D$5="Underground Sand Filter",$D$32,0)</f>
        <v>0</v>
      </c>
      <c r="Q15" s="12" t="s">
        <v>2</v>
      </c>
    </row>
    <row r="16" spans="1:17" s="1" customFormat="1" ht="15" customHeight="1" x14ac:dyDescent="0.35">
      <c r="A16" s="242" t="s">
        <v>554</v>
      </c>
      <c r="B16" s="243"/>
      <c r="C16" s="244"/>
      <c r="D16" s="211"/>
      <c r="E16" s="401" t="str">
        <f>IF(D16="","",IF(D16="No","Does not meet design criteria",""))</f>
        <v/>
      </c>
      <c r="F16" s="402"/>
      <c r="G16" s="402"/>
      <c r="H16" s="402"/>
      <c r="I16" s="148"/>
      <c r="K16" s="12" t="str">
        <f>IF($D$49="Surface Sand Filter",$D$76,0)</f>
        <v/>
      </c>
      <c r="L16" s="12" t="s">
        <v>2</v>
      </c>
      <c r="N16" s="148"/>
      <c r="P16" s="12">
        <f>IF($D$49="Underground Sand Filter",$D$76,0)</f>
        <v>0</v>
      </c>
      <c r="Q16" s="12" t="s">
        <v>2</v>
      </c>
    </row>
    <row r="17" spans="1:17" s="1" customFormat="1" ht="15" customHeight="1" x14ac:dyDescent="0.35">
      <c r="A17" s="242" t="s">
        <v>555</v>
      </c>
      <c r="B17" s="243"/>
      <c r="C17" s="244"/>
      <c r="D17" s="43"/>
      <c r="E17" s="322" t="str">
        <f>IF(D5="Surface Sand Filter","Not Applicable",IF(AND(D5="Underground Sand Filter",D17=""),"",IF(AND(D5="Underground Sand Filter",D17&lt;5),"Does not meet design criteria",IF(D5="Perimeter Sand Filter","Not Applicable",""))))</f>
        <v/>
      </c>
      <c r="F17" s="323"/>
      <c r="G17" s="323"/>
      <c r="H17" s="323"/>
      <c r="I17" s="148"/>
      <c r="K17" s="12" t="str">
        <f>IF($D$98="Surface Sand Filter",$D$125,0)</f>
        <v/>
      </c>
      <c r="L17" s="12" t="s">
        <v>2</v>
      </c>
      <c r="N17" s="148"/>
      <c r="P17" s="12">
        <f>IF($D$98="Underground Sand Filter",$D$125,0)</f>
        <v>0</v>
      </c>
      <c r="Q17" s="12" t="s">
        <v>2</v>
      </c>
    </row>
    <row r="18" spans="1:17" s="1" customFormat="1" ht="15" customHeight="1" x14ac:dyDescent="0.35">
      <c r="A18" s="245" t="s">
        <v>556</v>
      </c>
      <c r="B18" s="245"/>
      <c r="C18" s="245"/>
      <c r="D18" s="43"/>
      <c r="E18" s="322" t="str">
        <f>IF(D18="","",IF(D18&gt;0.5,"Does not meet design criteria",""))</f>
        <v/>
      </c>
      <c r="F18" s="323"/>
      <c r="G18" s="323"/>
      <c r="H18" s="323"/>
      <c r="I18" s="148"/>
      <c r="K18" s="12" t="str">
        <f>IF($D$147="Surface Sand Filter",$D$174,0)</f>
        <v/>
      </c>
      <c r="L18" s="12" t="s">
        <v>2</v>
      </c>
      <c r="N18" s="148"/>
      <c r="P18" s="12">
        <f>IF($D$147="Underground Sand Filter",$D$174,0)</f>
        <v>0</v>
      </c>
      <c r="Q18" s="12" t="s">
        <v>2</v>
      </c>
    </row>
    <row r="19" spans="1:17" s="1" customFormat="1" ht="15" customHeight="1" x14ac:dyDescent="0.35">
      <c r="A19" s="242" t="s">
        <v>557</v>
      </c>
      <c r="B19" s="243"/>
      <c r="C19" s="244"/>
      <c r="D19" s="43"/>
      <c r="E19" s="322" t="str">
        <f>IF(D19="","",IF(D19&gt;1.5,"Does not meet design criteria",""))</f>
        <v/>
      </c>
      <c r="F19" s="323"/>
      <c r="G19" s="323"/>
      <c r="H19" s="323"/>
      <c r="I19" s="148"/>
      <c r="K19" s="12" t="str">
        <f>IF($D$196="Surface Sand Filter",$D$223,0)</f>
        <v/>
      </c>
      <c r="L19" s="12" t="s">
        <v>2</v>
      </c>
      <c r="N19" s="148"/>
      <c r="P19" s="12">
        <f>IF($D$196="Underground Sand Filter",$D$223,0)</f>
        <v>0</v>
      </c>
      <c r="Q19" s="12" t="s">
        <v>2</v>
      </c>
    </row>
    <row r="20" spans="1:17" s="1" customFormat="1" ht="15" customHeight="1" x14ac:dyDescent="0.35">
      <c r="A20" s="242" t="s">
        <v>378</v>
      </c>
      <c r="B20" s="243"/>
      <c r="C20" s="244"/>
      <c r="D20" s="43"/>
      <c r="E20" s="322" t="str">
        <f>IF(AND(D5="Surface Sand Filter",D20=""),"",IF(AND(D5="Surface Sand Filter",D20&lt;3),"Does not meet design criteria",IF(AND(D5="Underground Sand Filter",D20=""),"",IF(AND(D5="Underground Sand Filter",D20&lt;3),"Does not meet design criteria",IF(AND(D5="Perimeter Sand Filter",D20=""),"Not Applicable","")))))</f>
        <v/>
      </c>
      <c r="F20" s="323"/>
      <c r="G20" s="323"/>
      <c r="H20" s="323"/>
      <c r="I20" s="148"/>
    </row>
    <row r="21" spans="1:17" s="1" customFormat="1" ht="15" customHeight="1" x14ac:dyDescent="0.35">
      <c r="A21" s="242" t="s">
        <v>558</v>
      </c>
      <c r="B21" s="243"/>
      <c r="C21" s="244"/>
      <c r="D21" s="43"/>
      <c r="E21" s="322" t="str">
        <f>IF(D21="","",IF(AND(OR(D5="Surface Sand Filter",D5="Underground Sand Filter")*OR(D21&lt;1.5,D21&gt;2)),"Does not meet design criteria",IF(AND(D5="Perimeter Sand Filter",OR(D21&lt;1,D21&gt;2)),"Does not meet design criteria","")))</f>
        <v/>
      </c>
      <c r="F21" s="323"/>
      <c r="G21" s="323"/>
      <c r="H21" s="323"/>
      <c r="I21" s="408" t="s">
        <v>140</v>
      </c>
      <c r="J21" s="397"/>
      <c r="K21" s="397"/>
      <c r="L21" s="397"/>
    </row>
    <row r="22" spans="1:17" s="1" customFormat="1" ht="15" customHeight="1" x14ac:dyDescent="0.35">
      <c r="A22" s="242" t="s">
        <v>402</v>
      </c>
      <c r="B22" s="243"/>
      <c r="C22" s="244"/>
      <c r="D22" s="43"/>
      <c r="E22" s="322" t="str">
        <f>IF(D22="","",IF(D22=10,"","Does not meet design criteria"))</f>
        <v/>
      </c>
      <c r="F22" s="323"/>
      <c r="G22" s="323"/>
      <c r="H22" s="323"/>
      <c r="I22" s="255" t="s">
        <v>219</v>
      </c>
      <c r="J22" s="256"/>
      <c r="K22" s="49">
        <f>SUM(K23:K27)</f>
        <v>0</v>
      </c>
      <c r="L22" s="12" t="s">
        <v>223</v>
      </c>
    </row>
    <row r="23" spans="1:17" s="1" customFormat="1" ht="15" customHeight="1" x14ac:dyDescent="0.35">
      <c r="A23" s="242" t="s">
        <v>520</v>
      </c>
      <c r="B23" s="243"/>
      <c r="C23" s="244"/>
      <c r="D23" s="43"/>
      <c r="E23" s="322" t="str">
        <f>IF(D23="","",IF(D23&gt;15,"Does not meet design criteria",""))</f>
        <v/>
      </c>
      <c r="F23" s="323"/>
      <c r="G23" s="323"/>
      <c r="H23" s="323"/>
      <c r="I23" s="149"/>
      <c r="J23" s="12"/>
      <c r="K23" s="12">
        <f>IF($D$5="Perimeter Sand Filter",$B$4,0)</f>
        <v>0</v>
      </c>
      <c r="L23" s="12" t="s">
        <v>223</v>
      </c>
    </row>
    <row r="24" spans="1:17" s="1" customFormat="1" ht="14.5" x14ac:dyDescent="0.35">
      <c r="A24" s="242" t="s">
        <v>461</v>
      </c>
      <c r="B24" s="243"/>
      <c r="C24" s="244"/>
      <c r="D24" s="43"/>
      <c r="E24" s="401" t="str">
        <f>IF(D24="","",IF(D24&lt;12,"Does not meet design criteria",""))</f>
        <v/>
      </c>
      <c r="F24" s="402"/>
      <c r="G24" s="402"/>
      <c r="H24" s="402"/>
      <c r="I24" s="149"/>
      <c r="J24" s="12"/>
      <c r="K24" s="12">
        <f>IF($D$49="Perimeter Sand Filter",$B$48,0)</f>
        <v>0</v>
      </c>
      <c r="L24" s="12" t="s">
        <v>223</v>
      </c>
    </row>
    <row r="25" spans="1:17" ht="15" customHeight="1" x14ac:dyDescent="0.35">
      <c r="A25" s="241" t="s">
        <v>232</v>
      </c>
      <c r="B25" s="241"/>
      <c r="C25" s="241"/>
      <c r="D25" s="241"/>
      <c r="E25" s="241"/>
      <c r="F25" s="241"/>
      <c r="G25" s="241"/>
      <c r="H25" s="236"/>
      <c r="I25" s="148"/>
      <c r="J25" s="1"/>
      <c r="K25" s="12">
        <f>IF($D$98="Perimeter Sand Filter",$B$97,0)</f>
        <v>0</v>
      </c>
      <c r="L25" s="12" t="s">
        <v>223</v>
      </c>
    </row>
    <row r="26" spans="1:17" s="34" customFormat="1" ht="15" customHeight="1" x14ac:dyDescent="0.35">
      <c r="A26" s="378"/>
      <c r="B26" s="379"/>
      <c r="C26" s="380"/>
      <c r="D26" s="222" t="s">
        <v>256</v>
      </c>
      <c r="E26" s="38" t="s">
        <v>257</v>
      </c>
      <c r="F26" s="415" t="s">
        <v>258</v>
      </c>
      <c r="G26" s="416"/>
      <c r="H26" s="416"/>
      <c r="I26" s="148"/>
      <c r="J26" s="1"/>
      <c r="K26" s="12">
        <f>IF($D$147="Perimeter Sand Filter",$B$146,0)</f>
        <v>0</v>
      </c>
      <c r="L26" s="12" t="s">
        <v>223</v>
      </c>
      <c r="M26" s="4"/>
      <c r="N26" s="4"/>
      <c r="O26" s="4"/>
      <c r="P26" s="4"/>
    </row>
    <row r="27" spans="1:17" s="1" customFormat="1" ht="15" customHeight="1" x14ac:dyDescent="0.35">
      <c r="A27" s="266" t="s">
        <v>306</v>
      </c>
      <c r="B27" s="267"/>
      <c r="C27" s="198" t="s">
        <v>307</v>
      </c>
      <c r="D27" s="198">
        <v>3.5</v>
      </c>
      <c r="E27" s="193" t="s">
        <v>308</v>
      </c>
      <c r="F27" s="403"/>
      <c r="G27" s="403"/>
      <c r="H27" s="401"/>
      <c r="I27" s="148"/>
      <c r="K27" s="12">
        <f>IF($D$196="Perimeter Sand Filter",$B$195,0)</f>
        <v>0</v>
      </c>
      <c r="L27" s="12" t="s">
        <v>223</v>
      </c>
    </row>
    <row r="28" spans="1:17" s="1" customFormat="1" ht="15" customHeight="1" x14ac:dyDescent="0.35">
      <c r="A28" s="266" t="s">
        <v>388</v>
      </c>
      <c r="B28" s="267"/>
      <c r="C28" s="198" t="s">
        <v>312</v>
      </c>
      <c r="D28" s="198">
        <v>1.67</v>
      </c>
      <c r="E28" s="193" t="s">
        <v>313</v>
      </c>
      <c r="F28" s="403"/>
      <c r="G28" s="403"/>
      <c r="H28" s="401"/>
      <c r="I28" s="255" t="s">
        <v>245</v>
      </c>
      <c r="J28" s="256"/>
      <c r="K28" s="21">
        <f>SUM(K29:K33)</f>
        <v>0</v>
      </c>
      <c r="L28" s="12" t="s">
        <v>223</v>
      </c>
    </row>
    <row r="29" spans="1:17" s="1" customFormat="1" ht="15" customHeight="1" x14ac:dyDescent="0.35">
      <c r="A29" s="266" t="s">
        <v>381</v>
      </c>
      <c r="B29" s="267"/>
      <c r="C29" s="198" t="s">
        <v>315</v>
      </c>
      <c r="D29" s="134" t="e">
        <f>(F4*D21)/(D27*(D18+D21)*D28)</f>
        <v>#VALUE!</v>
      </c>
      <c r="E29" s="193" t="s">
        <v>316</v>
      </c>
      <c r="F29" s="403"/>
      <c r="G29" s="403"/>
      <c r="H29" s="401"/>
      <c r="I29" s="156"/>
      <c r="K29" s="12">
        <f>IF($D$5="Perimeter Sand Filter",$C$4,0)</f>
        <v>0</v>
      </c>
      <c r="L29" s="12" t="s">
        <v>223</v>
      </c>
    </row>
    <row r="30" spans="1:17" s="1" customFormat="1" ht="15" customHeight="1" x14ac:dyDescent="0.35">
      <c r="A30" s="266" t="s">
        <v>382</v>
      </c>
      <c r="B30" s="267"/>
      <c r="C30" s="198" t="s">
        <v>315</v>
      </c>
      <c r="D30" s="218"/>
      <c r="E30" s="193" t="s">
        <v>316</v>
      </c>
      <c r="F30" s="403" t="str">
        <f>IF(D30="","",IF(D30&lt;D29,"Does not meet sizing criteria",""))</f>
        <v/>
      </c>
      <c r="G30" s="403"/>
      <c r="H30" s="401"/>
      <c r="I30" s="148"/>
      <c r="K30" s="12">
        <f>IF($D$49="Perimeter Sand Filter",$C$48,0)</f>
        <v>0</v>
      </c>
      <c r="L30" s="12" t="s">
        <v>223</v>
      </c>
    </row>
    <row r="31" spans="1:17" s="145" customFormat="1" ht="14.25" customHeight="1" x14ac:dyDescent="0.35">
      <c r="A31" s="390" t="s">
        <v>468</v>
      </c>
      <c r="B31" s="390"/>
      <c r="C31" s="390"/>
      <c r="D31" s="390"/>
      <c r="E31" s="390"/>
      <c r="F31" s="390"/>
      <c r="G31" s="390"/>
      <c r="H31" s="404"/>
      <c r="I31" s="148"/>
      <c r="J31" s="1"/>
      <c r="K31" s="12">
        <f>IF($D$98="Perimeter Sand Filter",$C$97,0)</f>
        <v>0</v>
      </c>
      <c r="L31" s="12" t="s">
        <v>223</v>
      </c>
    </row>
    <row r="32" spans="1:17" ht="14.5" x14ac:dyDescent="0.35">
      <c r="A32" s="398" t="s">
        <v>469</v>
      </c>
      <c r="B32" s="399"/>
      <c r="C32" s="400"/>
      <c r="D32" s="150" t="str">
        <f>IF(F4="","",IF(D7="Yes",0,IF(AND(D5="Surface Sand Filter",D8&lt;2,D13="No"),0,IF(AND(D5="Surface Sand Filter",D9&lt;2,D13="No"),0,IF(AND(D5="Underground Sand Filter",D8&lt;2,D9&lt;2),0,IF(AND(D5="Perimeter Sand Filter",D8&lt;2,D9&lt;2),0,IF(D10&gt;0,0,IF(D11&gt;0,0,IF(AND(D5="Surface Sand Filter",D12="Yes",D13="No"),0,IF(AND(D5="Underground Sand Filter",D12="Yes"),0,IF(AND(D5="Perimeter Sand Filter",D12="Yes"),0,IF(D14="No",0,IF(D15="No",0,IF(D16="No",0,IF(AND(D5="Underground Sand Filter",D17&lt;5),0,IF(D18&gt;0.5,0,IF(D19&gt;1.5,0,IF(AND(D5="Surface Sand Filter",D20&lt;3),0,IF(AND(D5="Underground Sand Filter",D20&lt;3),0,IF(AND(D5="Surface Sand Filter",OR(D21&lt;1.5,D21&gt;2)),0,IF(AND(D5="Underground Sand Filter",OR(D21&lt;1.5,D21&gt;2)),0,IF(AND(D5="Perimeter Sand Filter",OR(D21&lt;1,D21&gt;2)),0,IF(OR(D22&lt;10,D22&gt;10),0,IF(D23&gt;15,0,IF(D24&lt;12,0,IF(D30&lt;D29,0,F4))))))))))))))))))))))))))</f>
        <v/>
      </c>
      <c r="E32" s="398" t="s">
        <v>2</v>
      </c>
      <c r="F32" s="399"/>
      <c r="G32" s="399"/>
      <c r="H32" s="399"/>
      <c r="I32" s="148"/>
      <c r="J32" s="1"/>
      <c r="K32" s="12">
        <f>IF($D$147="Perimeter Sand Filter",$C$146,0)</f>
        <v>0</v>
      </c>
      <c r="L32" s="12" t="s">
        <v>223</v>
      </c>
    </row>
    <row r="33" spans="1:12" ht="14.5" x14ac:dyDescent="0.35">
      <c r="I33" s="148"/>
      <c r="J33" s="1"/>
      <c r="K33" s="12">
        <f>IF($D$196="Perimeter Sand Filter",$C$195,0)</f>
        <v>0</v>
      </c>
      <c r="L33" s="12" t="s">
        <v>223</v>
      </c>
    </row>
    <row r="34" spans="1:12" ht="12.75" customHeight="1" x14ac:dyDescent="0.35">
      <c r="I34" s="255" t="s">
        <v>447</v>
      </c>
      <c r="J34" s="256"/>
      <c r="K34" s="28">
        <f>SUM(K35:K39)</f>
        <v>0</v>
      </c>
      <c r="L34" s="12" t="s">
        <v>2</v>
      </c>
    </row>
    <row r="35" spans="1:12" ht="14.5" x14ac:dyDescent="0.35">
      <c r="I35" s="148"/>
      <c r="J35" s="1"/>
      <c r="K35" s="12">
        <f>IF($D$5="Perimeter Sand Filter",$D$32,0)</f>
        <v>0</v>
      </c>
      <c r="L35" s="12" t="s">
        <v>2</v>
      </c>
    </row>
    <row r="36" spans="1:12" ht="14.5" x14ac:dyDescent="0.35">
      <c r="I36" s="148"/>
      <c r="J36" s="1"/>
      <c r="K36" s="12">
        <f>IF($D$49="Perimeter Sand Filter",$D$76,0)</f>
        <v>0</v>
      </c>
      <c r="L36" s="12" t="s">
        <v>2</v>
      </c>
    </row>
    <row r="37" spans="1:12" ht="14.5" x14ac:dyDescent="0.35">
      <c r="I37" s="148"/>
      <c r="J37" s="1"/>
      <c r="K37" s="12">
        <f>IF($D$98="Perimeter Sand Filter",$D$125,0)</f>
        <v>0</v>
      </c>
      <c r="L37" s="12" t="s">
        <v>2</v>
      </c>
    </row>
    <row r="38" spans="1:12" ht="14.5" x14ac:dyDescent="0.35">
      <c r="I38" s="148"/>
      <c r="J38" s="1"/>
      <c r="K38" s="12">
        <f>IF($D$147="Perimeter Sand Filter",$D$174,0)</f>
        <v>0</v>
      </c>
      <c r="L38" s="12" t="s">
        <v>2</v>
      </c>
    </row>
    <row r="39" spans="1:12" ht="14.5" x14ac:dyDescent="0.35">
      <c r="I39" s="148"/>
      <c r="J39" s="1"/>
      <c r="K39" s="12">
        <f>IF($D$196="Perimeter Sand Filter",$D$223,0)</f>
        <v>0</v>
      </c>
      <c r="L39" s="12" t="s">
        <v>2</v>
      </c>
    </row>
    <row r="45" spans="1:12" ht="13" x14ac:dyDescent="0.35">
      <c r="A45" s="16" t="s">
        <v>56</v>
      </c>
      <c r="B45" s="225" t="str">
        <f>IF('STEP 2-WQv Calculation'!$B$4="","",'STEP 2-WQv Calculation'!$B$4)</f>
        <v/>
      </c>
      <c r="C45" s="199"/>
      <c r="D45" s="199"/>
      <c r="E45" s="199"/>
      <c r="F45" s="199"/>
      <c r="G45" s="199"/>
      <c r="H45" s="199"/>
    </row>
    <row r="46" spans="1:12" ht="13" x14ac:dyDescent="0.35">
      <c r="A46" s="241" t="s">
        <v>293</v>
      </c>
      <c r="B46" s="241"/>
      <c r="C46" s="241"/>
      <c r="D46" s="241"/>
      <c r="E46" s="241"/>
      <c r="F46" s="241"/>
      <c r="G46" s="241"/>
      <c r="H46" s="236"/>
    </row>
    <row r="47" spans="1:12" ht="38.5" x14ac:dyDescent="0.35">
      <c r="A47" s="204" t="s">
        <v>60</v>
      </c>
      <c r="B47" s="205" t="s">
        <v>61</v>
      </c>
      <c r="C47" s="205" t="s">
        <v>62</v>
      </c>
      <c r="D47" s="205" t="s">
        <v>63</v>
      </c>
      <c r="E47" s="205" t="s">
        <v>64</v>
      </c>
      <c r="F47" s="205" t="s">
        <v>65</v>
      </c>
      <c r="G47" s="205" t="s">
        <v>244</v>
      </c>
      <c r="H47" s="205" t="s">
        <v>13</v>
      </c>
    </row>
    <row r="48" spans="1:12" ht="25.5" customHeight="1" x14ac:dyDescent="0.35">
      <c r="A48" s="218"/>
      <c r="B48" s="3" t="str">
        <f>IF($A48="","",(LOOKUP($A48,'STEP 2-WQv Calculation'!$A$8:$A$37,'STEP 2-WQv Calculation'!$B$8:$B$37)))</f>
        <v/>
      </c>
      <c r="C48" s="3" t="str">
        <f>IF($A48="","",(LOOKUP($A48,'STEP 2-WQv Calculation'!$A$8:$A$37,'STEP 2-WQv Calculation'!$C$8:$C$37)))</f>
        <v/>
      </c>
      <c r="D48" s="212" t="str">
        <f>IF($A48="","",(LOOKUP($A48,'STEP 2-WQv Calculation'!$A$8:$A$37,'STEP 2-WQv Calculation'!$D$8:$D$37)))</f>
        <v/>
      </c>
      <c r="E48" s="3" t="str">
        <f>IF($A48="","",(LOOKUP($A48,'STEP 2-WQv Calculation'!$A$8:$A$37,'STEP 2-WQv Calculation'!$E$8:$E$37)))</f>
        <v/>
      </c>
      <c r="F48" s="217" t="str">
        <f>IF($A48="","",(LOOKUP($A48,'STEP 2-WQv Calculation'!$A$8:$A$37,'STEP 2-WQv Calculation'!$F$8:$F$37)))</f>
        <v/>
      </c>
      <c r="G48" s="22">
        <f>'STEP 2-WQv Calculation'!B5</f>
        <v>0</v>
      </c>
      <c r="H48" s="195" t="str">
        <f>IF($A48="","",(LOOKUP($A48,'STEP 2-WQv Calculation'!$A$8:$A$37,'STEP 2-WQv Calculation'!$G$8:$G$37)))</f>
        <v/>
      </c>
    </row>
    <row r="49" spans="1:8" ht="12.75" customHeight="1" x14ac:dyDescent="0.35">
      <c r="A49" s="242" t="s">
        <v>548</v>
      </c>
      <c r="B49" s="243"/>
      <c r="C49" s="244"/>
      <c r="D49" s="364" t="s">
        <v>136</v>
      </c>
      <c r="E49" s="365"/>
      <c r="F49" s="365"/>
      <c r="G49" s="365"/>
      <c r="H49" s="365"/>
    </row>
    <row r="50" spans="1:8" ht="13" x14ac:dyDescent="0.3">
      <c r="A50" s="273" t="s">
        <v>226</v>
      </c>
      <c r="B50" s="273"/>
      <c r="C50" s="273"/>
      <c r="D50" s="273"/>
      <c r="E50" s="273"/>
      <c r="F50" s="273"/>
      <c r="G50" s="273"/>
      <c r="H50" s="248"/>
    </row>
    <row r="51" spans="1:8" x14ac:dyDescent="0.35">
      <c r="A51" s="242" t="s">
        <v>494</v>
      </c>
      <c r="B51" s="243"/>
      <c r="C51" s="244"/>
      <c r="D51" s="227" t="str">
        <f>IF(B48="","",IF(AND(D49="Surface Sand Filter",B48&gt;10),"Yes",IF(AND(D49="Underground Sand Filter",B48&gt;2),"Yes",IF(AND(D49="Perimeter Sand Filter",B48&gt;2),"Yes","No"))))</f>
        <v/>
      </c>
      <c r="E51" s="401" t="str">
        <f>IF(D51="Yes","Does not meet feasibility criteria","")</f>
        <v/>
      </c>
      <c r="F51" s="402"/>
      <c r="G51" s="402"/>
      <c r="H51" s="402"/>
    </row>
    <row r="52" spans="1:8" x14ac:dyDescent="0.35">
      <c r="A52" s="242" t="s">
        <v>296</v>
      </c>
      <c r="B52" s="243"/>
      <c r="C52" s="244"/>
      <c r="D52" s="43"/>
      <c r="E52" s="401" t="str">
        <f>IF(D52="","",IF(AND(D52&lt;2,D49="Surface Sand Filter"),"Impermeable liner shall be provided",IF(AND(D52&lt;2,D49="Underground Sand Filter"),"Does not meet design criteria",IF(AND(D52&lt;2,D49="Perimeter Sand Filter"),"Does not meet design criteria",""))))</f>
        <v/>
      </c>
      <c r="F52" s="402"/>
      <c r="G52" s="402"/>
      <c r="H52" s="402"/>
    </row>
    <row r="53" spans="1:8" x14ac:dyDescent="0.35">
      <c r="A53" s="242" t="s">
        <v>297</v>
      </c>
      <c r="B53" s="243"/>
      <c r="C53" s="244"/>
      <c r="D53" s="43"/>
      <c r="E53" s="401" t="str">
        <f>IF(D53="","",IF(AND(D53&lt;2,D49="Surface Sand Filter"),"Impermeable liner shall be provided",IF(AND(D53&lt;2,D49="Underground Sand Filter"),"Does not meet design criteria",IF(AND(D53&lt;2,D49="Perimeter Sand Filter"),"Does not meet design criteria",""))))</f>
        <v/>
      </c>
      <c r="F53" s="402"/>
      <c r="G53" s="402"/>
      <c r="H53" s="402"/>
    </row>
    <row r="54" spans="1:8" x14ac:dyDescent="0.35">
      <c r="A54" s="242" t="s">
        <v>549</v>
      </c>
      <c r="B54" s="243"/>
      <c r="C54" s="244"/>
      <c r="D54" s="211"/>
      <c r="E54" s="401" t="str">
        <f>IF(D54="","",IF(D54=0,"","Does not meet design criteria"))</f>
        <v/>
      </c>
      <c r="F54" s="402"/>
      <c r="G54" s="402"/>
      <c r="H54" s="402"/>
    </row>
    <row r="55" spans="1:8" x14ac:dyDescent="0.35">
      <c r="A55" s="242" t="s">
        <v>550</v>
      </c>
      <c r="B55" s="243"/>
      <c r="C55" s="244"/>
      <c r="D55" s="43"/>
      <c r="E55" s="401" t="str">
        <f>IF(D55="","",IF(D55=0,"","Does not meet design criteria"))</f>
        <v/>
      </c>
      <c r="F55" s="402"/>
      <c r="G55" s="402"/>
      <c r="H55" s="402"/>
    </row>
    <row r="56" spans="1:8" x14ac:dyDescent="0.35">
      <c r="A56" s="242" t="s">
        <v>551</v>
      </c>
      <c r="B56" s="243"/>
      <c r="C56" s="244"/>
      <c r="D56" s="211"/>
      <c r="E56" s="401" t="str">
        <f>IF(AND(D49="Surface Sand Filter",D56="Yes"),"Impermeable liner shall be provided",IF(AND(D49="Underground Sand Filter",D56="Yes"),"Does not meet design criteria",IF(AND(D49="Perimeter Sand Filter",D56="Yes"),"Does not meet design criteria","")))</f>
        <v/>
      </c>
      <c r="F56" s="402"/>
      <c r="G56" s="402"/>
      <c r="H56" s="402"/>
    </row>
    <row r="57" spans="1:8" x14ac:dyDescent="0.35">
      <c r="A57" s="242" t="s">
        <v>443</v>
      </c>
      <c r="B57" s="243"/>
      <c r="C57" s="244"/>
      <c r="D57" s="211"/>
      <c r="E57" s="322" t="str">
        <f>IF(AND(D49="Underground Sand Filter",D57=""),"Not Applicable",IF(AND(D49="Perimeter Sand Filter",D57=""),"Not Applicable",IF(AND(D49="Surface Sand Filter",D57="No",OR(E52="Impermeable liner shall be provided",E53="Impermeable liner shall be provided")),"Does not meet design criteria",IF(AND(D49="Surface Sand Filter",D56="Yes",D57="No"),"Does not meet design criteria",""))))</f>
        <v/>
      </c>
      <c r="F57" s="323"/>
      <c r="G57" s="323"/>
      <c r="H57" s="323"/>
    </row>
    <row r="58" spans="1:8" x14ac:dyDescent="0.35">
      <c r="A58" s="242" t="s">
        <v>552</v>
      </c>
      <c r="B58" s="243"/>
      <c r="C58" s="244"/>
      <c r="D58" s="211"/>
      <c r="E58" s="322" t="str">
        <f>IF(D58="","",IF(D58="No","Does not meet design criteria",""))</f>
        <v/>
      </c>
      <c r="F58" s="323"/>
      <c r="G58" s="323"/>
      <c r="H58" s="323"/>
    </row>
    <row r="59" spans="1:8" x14ac:dyDescent="0.35">
      <c r="A59" s="242" t="s">
        <v>553</v>
      </c>
      <c r="B59" s="243"/>
      <c r="C59" s="244"/>
      <c r="D59" s="211"/>
      <c r="E59" s="322" t="str">
        <f>IF(D59="","",IF(D59="No","Does not meet design criteria",""))</f>
        <v/>
      </c>
      <c r="F59" s="323"/>
      <c r="G59" s="323"/>
      <c r="H59" s="323"/>
    </row>
    <row r="60" spans="1:8" x14ac:dyDescent="0.35">
      <c r="A60" s="242" t="s">
        <v>554</v>
      </c>
      <c r="B60" s="243"/>
      <c r="C60" s="244"/>
      <c r="D60" s="211"/>
      <c r="E60" s="401" t="str">
        <f>IF(D60="","",IF(D60="No","Does not meet design criteria",""))</f>
        <v/>
      </c>
      <c r="F60" s="402"/>
      <c r="G60" s="402"/>
      <c r="H60" s="402"/>
    </row>
    <row r="61" spans="1:8" x14ac:dyDescent="0.35">
      <c r="A61" s="242" t="s">
        <v>555</v>
      </c>
      <c r="B61" s="243"/>
      <c r="C61" s="244"/>
      <c r="D61" s="43"/>
      <c r="E61" s="322" t="str">
        <f>IF(D49="Surface Sand Filter","Not Applicable",IF(AND(D49="Underground Sand Filter",D61=""),"",IF(AND(D49="Underground Sand Filter",D61&lt;5),"Does not meet design criteria",IF(D49="Perimeter Sand Filter","Not Applicable",""))))</f>
        <v>Not Applicable</v>
      </c>
      <c r="F61" s="323"/>
      <c r="G61" s="323"/>
      <c r="H61" s="323"/>
    </row>
    <row r="62" spans="1:8" ht="12.75" customHeight="1" x14ac:dyDescent="0.35">
      <c r="A62" s="245" t="s">
        <v>556</v>
      </c>
      <c r="B62" s="245"/>
      <c r="C62" s="245"/>
      <c r="D62" s="43"/>
      <c r="E62" s="322" t="str">
        <f>IF(D62="","",IF(D62&gt;0.5,"Does not meet design criteria",""))</f>
        <v/>
      </c>
      <c r="F62" s="323"/>
      <c r="G62" s="323"/>
      <c r="H62" s="323"/>
    </row>
    <row r="63" spans="1:8" x14ac:dyDescent="0.35">
      <c r="A63" s="242" t="s">
        <v>557</v>
      </c>
      <c r="B63" s="243"/>
      <c r="C63" s="244"/>
      <c r="D63" s="43"/>
      <c r="E63" s="322" t="str">
        <f>IF(D63="","",IF(D63&gt;1.5,"Does not meet design criteria",""))</f>
        <v/>
      </c>
      <c r="F63" s="323"/>
      <c r="G63" s="323"/>
      <c r="H63" s="323"/>
    </row>
    <row r="64" spans="1:8" x14ac:dyDescent="0.35">
      <c r="A64" s="242" t="s">
        <v>378</v>
      </c>
      <c r="B64" s="243"/>
      <c r="C64" s="244"/>
      <c r="D64" s="43"/>
      <c r="E64" s="322" t="str">
        <f>IF(AND(D49="Surface Sand Filter",D64=""),"",IF(AND(D49="Surface Sand Filter",D64&lt;3),"Does not meet design criteria",IF(AND(D49="Underground Sand Filter",D64=""),"",IF(AND(D49="Underground Sand Filter",D64&lt;3),"Does not meet design criteria",IF(AND(D49="Perimeter Sand Filter",D64=""),"Not Applicable","")))))</f>
        <v/>
      </c>
      <c r="F64" s="323"/>
      <c r="G64" s="323"/>
      <c r="H64" s="323"/>
    </row>
    <row r="65" spans="1:8" x14ac:dyDescent="0.35">
      <c r="A65" s="242" t="s">
        <v>558</v>
      </c>
      <c r="B65" s="243"/>
      <c r="C65" s="244"/>
      <c r="D65" s="43"/>
      <c r="E65" s="322" t="str">
        <f>IF(D65="","",IF(AND(OR(D49="Surface Sand Filter",D49="Underground Sand Filter")*OR(D65&lt;1.5,D65&gt;2)),"Does not meet design criteria",IF(AND(D49="Perimeter Sand Filter",OR(D65&lt;1,D65&gt;2)),"Does not meet design criteria","")))</f>
        <v/>
      </c>
      <c r="F65" s="323"/>
      <c r="G65" s="323"/>
      <c r="H65" s="323"/>
    </row>
    <row r="66" spans="1:8" x14ac:dyDescent="0.35">
      <c r="A66" s="242" t="s">
        <v>402</v>
      </c>
      <c r="B66" s="243"/>
      <c r="C66" s="244"/>
      <c r="D66" s="43"/>
      <c r="E66" s="322" t="str">
        <f>IF(D66="","",IF(D66=10,"","Does not meet design criteria"))</f>
        <v/>
      </c>
      <c r="F66" s="323"/>
      <c r="G66" s="323"/>
      <c r="H66" s="323"/>
    </row>
    <row r="67" spans="1:8" x14ac:dyDescent="0.35">
      <c r="A67" s="242" t="s">
        <v>520</v>
      </c>
      <c r="B67" s="243"/>
      <c r="C67" s="244"/>
      <c r="D67" s="43"/>
      <c r="E67" s="322" t="str">
        <f>IF(D67="","",IF(D67&gt;15,"Does not meet design criteria",""))</f>
        <v/>
      </c>
      <c r="F67" s="323"/>
      <c r="G67" s="323"/>
      <c r="H67" s="323"/>
    </row>
    <row r="68" spans="1:8" x14ac:dyDescent="0.35">
      <c r="A68" s="242" t="s">
        <v>461</v>
      </c>
      <c r="B68" s="243"/>
      <c r="C68" s="244"/>
      <c r="D68" s="43"/>
      <c r="E68" s="401" t="str">
        <f>IF(D68="","",IF(D68&lt;12,"Does not meet design criteria",""))</f>
        <v/>
      </c>
      <c r="F68" s="402"/>
      <c r="G68" s="402"/>
      <c r="H68" s="402"/>
    </row>
    <row r="69" spans="1:8" ht="13" x14ac:dyDescent="0.35">
      <c r="A69" s="241" t="s">
        <v>232</v>
      </c>
      <c r="B69" s="241"/>
      <c r="C69" s="241"/>
      <c r="D69" s="241"/>
      <c r="E69" s="241"/>
      <c r="F69" s="241"/>
      <c r="G69" s="241"/>
      <c r="H69" s="236"/>
    </row>
    <row r="70" spans="1:8" x14ac:dyDescent="0.35">
      <c r="A70" s="378"/>
      <c r="B70" s="379"/>
      <c r="C70" s="380"/>
      <c r="D70" s="222" t="s">
        <v>256</v>
      </c>
      <c r="E70" s="38" t="s">
        <v>257</v>
      </c>
      <c r="F70" s="415" t="s">
        <v>258</v>
      </c>
      <c r="G70" s="416"/>
      <c r="H70" s="416"/>
    </row>
    <row r="71" spans="1:8" x14ac:dyDescent="0.35">
      <c r="A71" s="266" t="s">
        <v>306</v>
      </c>
      <c r="B71" s="267"/>
      <c r="C71" s="198" t="s">
        <v>307</v>
      </c>
      <c r="D71" s="198">
        <v>3.5</v>
      </c>
      <c r="E71" s="193" t="s">
        <v>308</v>
      </c>
      <c r="F71" s="403"/>
      <c r="G71" s="403"/>
      <c r="H71" s="401"/>
    </row>
    <row r="72" spans="1:8" x14ac:dyDescent="0.35">
      <c r="A72" s="266" t="s">
        <v>388</v>
      </c>
      <c r="B72" s="267"/>
      <c r="C72" s="198" t="s">
        <v>312</v>
      </c>
      <c r="D72" s="198">
        <v>1.67</v>
      </c>
      <c r="E72" s="193" t="s">
        <v>313</v>
      </c>
      <c r="F72" s="403"/>
      <c r="G72" s="403"/>
      <c r="H72" s="401"/>
    </row>
    <row r="73" spans="1:8" x14ac:dyDescent="0.35">
      <c r="A73" s="266" t="s">
        <v>381</v>
      </c>
      <c r="B73" s="267"/>
      <c r="C73" s="198" t="s">
        <v>315</v>
      </c>
      <c r="D73" s="134" t="e">
        <f>(F48*D65)/(D71*(D62+D65)*D72)</f>
        <v>#VALUE!</v>
      </c>
      <c r="E73" s="193" t="s">
        <v>316</v>
      </c>
      <c r="F73" s="403"/>
      <c r="G73" s="403"/>
      <c r="H73" s="401"/>
    </row>
    <row r="74" spans="1:8" x14ac:dyDescent="0.35">
      <c r="A74" s="266" t="s">
        <v>382</v>
      </c>
      <c r="B74" s="267"/>
      <c r="C74" s="198" t="s">
        <v>315</v>
      </c>
      <c r="D74" s="218"/>
      <c r="E74" s="193" t="s">
        <v>316</v>
      </c>
      <c r="F74" s="403" t="str">
        <f>IF(D74="","",IF(D74&lt;D73,"Does not meet sizing criteria",""))</f>
        <v/>
      </c>
      <c r="G74" s="403"/>
      <c r="H74" s="401"/>
    </row>
    <row r="75" spans="1:8" ht="13" x14ac:dyDescent="0.35">
      <c r="A75" s="390" t="s">
        <v>468</v>
      </c>
      <c r="B75" s="390"/>
      <c r="C75" s="390"/>
      <c r="D75" s="390"/>
      <c r="E75" s="390"/>
      <c r="F75" s="390"/>
      <c r="G75" s="390"/>
      <c r="H75" s="404"/>
    </row>
    <row r="76" spans="1:8" ht="13.15" customHeight="1" x14ac:dyDescent="0.35">
      <c r="A76" s="398" t="s">
        <v>469</v>
      </c>
      <c r="B76" s="399"/>
      <c r="C76" s="400"/>
      <c r="D76" s="150" t="str">
        <f>IF(F48="","",IF(D51="Yes",0,IF(AND(D49="Surface Sand Filter",D52&lt;2,D57="No"),0,IF(AND(D49="Surface Sand Filter",D53&lt;2,D57="No"),0,IF(AND(D49="Underground Sand Filter",D52&lt;2,D53&lt;2),0,IF(AND(D49="Perimeter Sand Filter",D52&lt;2,D53&lt;2),0,IF(D54&gt;0,0,IF(D55&gt;0,0,IF(AND(D49="Surface Sand Filter",D56="Yes",D57="No"),0,IF(AND(D49="Underground Sand Filter",D56="Yes"),0,IF(AND(D49="Perimeter Sand Filter",D56="Yes"),0,IF(D58="No",0,IF(D59="No",0,IF(D60="No",0,IF(AND(D49="Underground Sand Filter",D61&lt;5),0,IF(D62&gt;0.5,0,IF(D63&gt;1.5,0,IF(AND(D49="Surface Sand Filter",D64&lt;3),0,IF(AND(D49="Underground Sand Filter",D64&lt;3),0,IF(AND(D49="Surface Sand Filter",OR(D65&lt;1.5,D65&gt;2)),0,IF(AND(D49="Underground Sand Filter",OR(D65&lt;1.5,D65&gt;2)),0,IF(AND(D49="Perimeter Sand Filter",OR(D65&lt;1,D65&gt;2)),0,IF(OR(D66&lt;10,D66&gt;10),0,IF(D67&gt;15,0,IF(D68&lt;12,0,IF(D74&lt;D73,0,F48))))))))))))))))))))))))))</f>
        <v/>
      </c>
      <c r="E76" s="398" t="s">
        <v>2</v>
      </c>
      <c r="F76" s="399"/>
      <c r="G76" s="399"/>
      <c r="H76" s="399"/>
    </row>
    <row r="94" spans="1:8" ht="13" x14ac:dyDescent="0.35">
      <c r="A94" s="16" t="s">
        <v>56</v>
      </c>
      <c r="B94" s="225" t="str">
        <f>IF('STEP 2-WQv Calculation'!$B$4="","",'STEP 2-WQv Calculation'!$B$4)</f>
        <v/>
      </c>
      <c r="C94" s="199"/>
      <c r="D94" s="199"/>
      <c r="E94" s="199"/>
      <c r="F94" s="199"/>
      <c r="G94" s="199"/>
      <c r="H94" s="199"/>
    </row>
    <row r="95" spans="1:8" ht="13" x14ac:dyDescent="0.35">
      <c r="A95" s="241" t="s">
        <v>293</v>
      </c>
      <c r="B95" s="241"/>
      <c r="C95" s="241"/>
      <c r="D95" s="241"/>
      <c r="E95" s="241"/>
      <c r="F95" s="241"/>
      <c r="G95" s="241"/>
      <c r="H95" s="236"/>
    </row>
    <row r="96" spans="1:8" ht="38.5" x14ac:dyDescent="0.35">
      <c r="A96" s="204" t="s">
        <v>60</v>
      </c>
      <c r="B96" s="205" t="s">
        <v>61</v>
      </c>
      <c r="C96" s="205" t="s">
        <v>62</v>
      </c>
      <c r="D96" s="205" t="s">
        <v>63</v>
      </c>
      <c r="E96" s="205" t="s">
        <v>64</v>
      </c>
      <c r="F96" s="205" t="s">
        <v>65</v>
      </c>
      <c r="G96" s="205" t="s">
        <v>244</v>
      </c>
      <c r="H96" s="205" t="s">
        <v>13</v>
      </c>
    </row>
    <row r="97" spans="1:8" ht="27" customHeight="1" x14ac:dyDescent="0.35">
      <c r="A97" s="218"/>
      <c r="B97" s="3" t="str">
        <f>IF($A97="","",(LOOKUP($A97,'STEP 2-WQv Calculation'!$A$8:$A$37,'STEP 2-WQv Calculation'!$B$8:$B$37)))</f>
        <v/>
      </c>
      <c r="C97" s="3" t="str">
        <f>IF($A97="","",(LOOKUP($A97,'STEP 2-WQv Calculation'!$A$8:$A$37,'STEP 2-WQv Calculation'!$C$8:$C$37)))</f>
        <v/>
      </c>
      <c r="D97" s="212" t="str">
        <f>IF($A97="","",(LOOKUP($A97,'STEP 2-WQv Calculation'!$A$8:$A$37,'STEP 2-WQv Calculation'!$D$8:$D$37)))</f>
        <v/>
      </c>
      <c r="E97" s="3" t="str">
        <f>IF($A97="","",(LOOKUP($A97,'STEP 2-WQv Calculation'!$A$8:$A$37,'STEP 2-WQv Calculation'!$E$8:$E$37)))</f>
        <v/>
      </c>
      <c r="F97" s="217" t="str">
        <f>IF($A97="","",(LOOKUP($A97,'STEP 2-WQv Calculation'!$A$8:$A$37,'STEP 2-WQv Calculation'!$F$8:$F$37)))</f>
        <v/>
      </c>
      <c r="G97" s="22">
        <f>'STEP 2-WQv Calculation'!B5</f>
        <v>0</v>
      </c>
      <c r="H97" s="195" t="str">
        <f>IF($A97="","",(LOOKUP($A97,'STEP 2-WQv Calculation'!$A$8:$A$37,'STEP 2-WQv Calculation'!$G$8:$G$37)))</f>
        <v/>
      </c>
    </row>
    <row r="98" spans="1:8" ht="12.75" customHeight="1" x14ac:dyDescent="0.35">
      <c r="A98" s="242" t="s">
        <v>548</v>
      </c>
      <c r="B98" s="243"/>
      <c r="C98" s="244"/>
      <c r="D98" s="364" t="s">
        <v>136</v>
      </c>
      <c r="E98" s="365"/>
      <c r="F98" s="365"/>
      <c r="G98" s="365"/>
      <c r="H98" s="365"/>
    </row>
    <row r="99" spans="1:8" ht="13" x14ac:dyDescent="0.3">
      <c r="A99" s="273" t="s">
        <v>226</v>
      </c>
      <c r="B99" s="273"/>
      <c r="C99" s="273"/>
      <c r="D99" s="273"/>
      <c r="E99" s="273"/>
      <c r="F99" s="273"/>
      <c r="G99" s="273"/>
      <c r="H99" s="248"/>
    </row>
    <row r="100" spans="1:8" x14ac:dyDescent="0.35">
      <c r="A100" s="242" t="s">
        <v>494</v>
      </c>
      <c r="B100" s="243"/>
      <c r="C100" s="244"/>
      <c r="D100" s="227" t="str">
        <f>IF(B97="","",IF(AND(D98="Surface Sand Filter",B97&gt;10),"Yes",IF(AND(D98="Underground Sand Filter",B97&gt;2),"Yes",IF(AND(D98="Perimeter Sand Filter",B97&gt;2),"Yes","No"))))</f>
        <v/>
      </c>
      <c r="E100" s="401" t="str">
        <f>IF(D100="Yes","Does not meet feasibility criteria","")</f>
        <v/>
      </c>
      <c r="F100" s="402"/>
      <c r="G100" s="402"/>
      <c r="H100" s="402"/>
    </row>
    <row r="101" spans="1:8" x14ac:dyDescent="0.35">
      <c r="A101" s="242" t="s">
        <v>296</v>
      </c>
      <c r="B101" s="243"/>
      <c r="C101" s="244"/>
      <c r="D101" s="43"/>
      <c r="E101" s="401" t="str">
        <f>IF(D101="","",IF(AND(D101&lt;2,D98="Surface Sand Filter"),"Impermeable liner shall be provided",IF(AND(D101&lt;2,D98="Underground Sand Filter"),"Does not meet design criteria",IF(AND(D101&lt;2,D98="Perimeter Sand Filter"),"Does not meet design criteria",""))))</f>
        <v/>
      </c>
      <c r="F101" s="402"/>
      <c r="G101" s="402"/>
      <c r="H101" s="402"/>
    </row>
    <row r="102" spans="1:8" x14ac:dyDescent="0.35">
      <c r="A102" s="242" t="s">
        <v>297</v>
      </c>
      <c r="B102" s="243"/>
      <c r="C102" s="244"/>
      <c r="D102" s="43"/>
      <c r="E102" s="401" t="str">
        <f>IF(D102="","",IF(AND(D102&lt;2,D98="Surface Sand Filter"),"Impermeable liner shall be provided",IF(AND(D102&lt;2,D98="Underground Sand Filter"),"Does not meet design criteria",IF(AND(D102&lt;2,D98="Perimeter Sand Filter"),"Does not meet design criteria",""))))</f>
        <v/>
      </c>
      <c r="F102" s="402"/>
      <c r="G102" s="402"/>
      <c r="H102" s="402"/>
    </row>
    <row r="103" spans="1:8" x14ac:dyDescent="0.35">
      <c r="A103" s="242" t="s">
        <v>549</v>
      </c>
      <c r="B103" s="243"/>
      <c r="C103" s="244"/>
      <c r="D103" s="211"/>
      <c r="E103" s="401" t="str">
        <f>IF(D103="","",IF(D103=0,"","Does not meet design criteria"))</f>
        <v/>
      </c>
      <c r="F103" s="402"/>
      <c r="G103" s="402"/>
      <c r="H103" s="402"/>
    </row>
    <row r="104" spans="1:8" x14ac:dyDescent="0.35">
      <c r="A104" s="242" t="s">
        <v>550</v>
      </c>
      <c r="B104" s="243"/>
      <c r="C104" s="244"/>
      <c r="D104" s="43"/>
      <c r="E104" s="401" t="str">
        <f>IF(D104="","",IF(D104=0,"","Does not meet design criteria"))</f>
        <v/>
      </c>
      <c r="F104" s="402"/>
      <c r="G104" s="402"/>
      <c r="H104" s="402"/>
    </row>
    <row r="105" spans="1:8" x14ac:dyDescent="0.35">
      <c r="A105" s="242" t="s">
        <v>551</v>
      </c>
      <c r="B105" s="243"/>
      <c r="C105" s="244"/>
      <c r="D105" s="211"/>
      <c r="E105" s="401" t="str">
        <f>IF(AND(D98="Surface Sand Filter",D105="Yes"),"Impermeable liner shall be provided",IF(AND(D98="Underground Sand Filter",D105="Yes"),"Does not meet design criteria",IF(AND(D98="Perimeter Sand Filter",D105="Yes"),"Does not meet design criteria","")))</f>
        <v/>
      </c>
      <c r="F105" s="402"/>
      <c r="G105" s="402"/>
      <c r="H105" s="402"/>
    </row>
    <row r="106" spans="1:8" x14ac:dyDescent="0.35">
      <c r="A106" s="242" t="s">
        <v>443</v>
      </c>
      <c r="B106" s="243"/>
      <c r="C106" s="244"/>
      <c r="D106" s="211"/>
      <c r="E106" s="322" t="str">
        <f>IF(AND(D98="Underground Sand Filter",D106=""),"Not Applicable",IF(AND(D98="Perimeter Sand Filter",D106=""),"Not Applicable",IF(AND(D98="Surface Sand Filter",D106="No",OR(E101="Impermeable liner shall be provided",E102="Impermeable liner shall be provided")),"Does not meet design criteria",IF(AND(D98="Surface Sand Filter",D105="Yes",D106="No"),"Does not meet design criteria",""))))</f>
        <v/>
      </c>
      <c r="F106" s="323"/>
      <c r="G106" s="323"/>
      <c r="H106" s="323"/>
    </row>
    <row r="107" spans="1:8" x14ac:dyDescent="0.35">
      <c r="A107" s="242" t="s">
        <v>552</v>
      </c>
      <c r="B107" s="243"/>
      <c r="C107" s="244"/>
      <c r="D107" s="211"/>
      <c r="E107" s="322" t="str">
        <f>IF(D107="","",IF(D107="No","Does not meet design criteria",""))</f>
        <v/>
      </c>
      <c r="F107" s="323"/>
      <c r="G107" s="323"/>
      <c r="H107" s="323"/>
    </row>
    <row r="108" spans="1:8" x14ac:dyDescent="0.35">
      <c r="A108" s="242" t="s">
        <v>553</v>
      </c>
      <c r="B108" s="243"/>
      <c r="C108" s="244"/>
      <c r="D108" s="211"/>
      <c r="E108" s="322" t="str">
        <f>IF(D108="","",IF(D108="No","Does not meet design criteria",""))</f>
        <v/>
      </c>
      <c r="F108" s="323"/>
      <c r="G108" s="323"/>
      <c r="H108" s="323"/>
    </row>
    <row r="109" spans="1:8" x14ac:dyDescent="0.35">
      <c r="A109" s="242" t="s">
        <v>554</v>
      </c>
      <c r="B109" s="243"/>
      <c r="C109" s="244"/>
      <c r="D109" s="211"/>
      <c r="E109" s="401" t="str">
        <f>IF(D109="","",IF(D109="No","Does not meet design criteria",""))</f>
        <v/>
      </c>
      <c r="F109" s="402"/>
      <c r="G109" s="402"/>
      <c r="H109" s="402"/>
    </row>
    <row r="110" spans="1:8" x14ac:dyDescent="0.35">
      <c r="A110" s="242" t="s">
        <v>555</v>
      </c>
      <c r="B110" s="243"/>
      <c r="C110" s="244"/>
      <c r="D110" s="43"/>
      <c r="E110" s="322" t="str">
        <f>IF(D98="Surface Sand Filter","Not Applicable",IF(AND(D98="Underground Sand Filter",D110=""),"",IF(AND(D98="Underground Sand Filter",D110&lt;5),"Does not meet design criteria",IF(D98="Perimeter Sand Filter","Not Applicable",""))))</f>
        <v>Not Applicable</v>
      </c>
      <c r="F110" s="323"/>
      <c r="G110" s="323"/>
      <c r="H110" s="323"/>
    </row>
    <row r="111" spans="1:8" ht="12.75" customHeight="1" x14ac:dyDescent="0.35">
      <c r="A111" s="245" t="s">
        <v>556</v>
      </c>
      <c r="B111" s="245"/>
      <c r="C111" s="245"/>
      <c r="D111" s="43"/>
      <c r="E111" s="322" t="str">
        <f>IF(D111="","",IF(D111&gt;0.5,"Does not meet design criteria",""))</f>
        <v/>
      </c>
      <c r="F111" s="323"/>
      <c r="G111" s="323"/>
      <c r="H111" s="323"/>
    </row>
    <row r="112" spans="1:8" x14ac:dyDescent="0.35">
      <c r="A112" s="242" t="s">
        <v>557</v>
      </c>
      <c r="B112" s="243"/>
      <c r="C112" s="244"/>
      <c r="D112" s="43"/>
      <c r="E112" s="322" t="str">
        <f>IF(D112="","",IF(D112&gt;1.5,"Does not meet design criteria",""))</f>
        <v/>
      </c>
      <c r="F112" s="323"/>
      <c r="G112" s="323"/>
      <c r="H112" s="323"/>
    </row>
    <row r="113" spans="1:8" x14ac:dyDescent="0.35">
      <c r="A113" s="242" t="s">
        <v>378</v>
      </c>
      <c r="B113" s="243"/>
      <c r="C113" s="244"/>
      <c r="D113" s="43"/>
      <c r="E113" s="322" t="str">
        <f>IF(AND(D98="Surface Sand Filter",D113=""),"",IF(AND(D98="Surface Sand Filter",D113&lt;3),"Does not meet design criteria",IF(AND(D98="Underground Sand Filter",D113=""),"",IF(AND(D98="Underground Sand Filter",D113&lt;3),"Does not meet design criteria",IF(AND(D98="Perimeter Sand Filter",D113=""),"Not Applicable","")))))</f>
        <v/>
      </c>
      <c r="F113" s="323"/>
      <c r="G113" s="323"/>
      <c r="H113" s="323"/>
    </row>
    <row r="114" spans="1:8" x14ac:dyDescent="0.35">
      <c r="A114" s="242" t="s">
        <v>558</v>
      </c>
      <c r="B114" s="243"/>
      <c r="C114" s="244"/>
      <c r="D114" s="43"/>
      <c r="E114" s="322" t="str">
        <f>IF(D114="","",IF(AND(OR(D98="Surface Sand Filter",D98="Underground Sand Filter")*OR(D114&lt;1.5,D114&gt;2)),"Does not meet design criteria",IF(AND(D98="Perimeter Sand Filter",OR(D114&lt;1,D114&gt;2)),"Does not meet design criteria","")))</f>
        <v/>
      </c>
      <c r="F114" s="323"/>
      <c r="G114" s="323"/>
      <c r="H114" s="323"/>
    </row>
    <row r="115" spans="1:8" x14ac:dyDescent="0.35">
      <c r="A115" s="242" t="s">
        <v>402</v>
      </c>
      <c r="B115" s="243"/>
      <c r="C115" s="244"/>
      <c r="D115" s="43"/>
      <c r="E115" s="322" t="str">
        <f>IF(D115="","",IF(D115=10,"","Does not meet design criteria"))</f>
        <v/>
      </c>
      <c r="F115" s="323"/>
      <c r="G115" s="323"/>
      <c r="H115" s="323"/>
    </row>
    <row r="116" spans="1:8" x14ac:dyDescent="0.35">
      <c r="A116" s="242" t="s">
        <v>520</v>
      </c>
      <c r="B116" s="243"/>
      <c r="C116" s="244"/>
      <c r="D116" s="43"/>
      <c r="E116" s="322" t="str">
        <f>IF(D116="","",IF(D116&gt;15,"Does not meet design criteria",""))</f>
        <v/>
      </c>
      <c r="F116" s="323"/>
      <c r="G116" s="323"/>
      <c r="H116" s="323"/>
    </row>
    <row r="117" spans="1:8" x14ac:dyDescent="0.35">
      <c r="A117" s="242" t="s">
        <v>461</v>
      </c>
      <c r="B117" s="243"/>
      <c r="C117" s="244"/>
      <c r="D117" s="43"/>
      <c r="E117" s="401" t="str">
        <f>IF(D117="","",IF(D117&lt;12,"Does not meet design criteria",""))</f>
        <v/>
      </c>
      <c r="F117" s="402"/>
      <c r="G117" s="402"/>
      <c r="H117" s="402"/>
    </row>
    <row r="118" spans="1:8" ht="13" x14ac:dyDescent="0.35">
      <c r="A118" s="241" t="s">
        <v>232</v>
      </c>
      <c r="B118" s="241"/>
      <c r="C118" s="241"/>
      <c r="D118" s="241"/>
      <c r="E118" s="241"/>
      <c r="F118" s="241"/>
      <c r="G118" s="241"/>
      <c r="H118" s="236"/>
    </row>
    <row r="119" spans="1:8" x14ac:dyDescent="0.35">
      <c r="A119" s="378"/>
      <c r="B119" s="379"/>
      <c r="C119" s="380"/>
      <c r="D119" s="222" t="s">
        <v>256</v>
      </c>
      <c r="E119" s="38" t="s">
        <v>257</v>
      </c>
      <c r="F119" s="415" t="s">
        <v>258</v>
      </c>
      <c r="G119" s="416"/>
      <c r="H119" s="416"/>
    </row>
    <row r="120" spans="1:8" x14ac:dyDescent="0.35">
      <c r="A120" s="266" t="s">
        <v>306</v>
      </c>
      <c r="B120" s="267"/>
      <c r="C120" s="198" t="s">
        <v>307</v>
      </c>
      <c r="D120" s="198">
        <v>3.5</v>
      </c>
      <c r="E120" s="193" t="s">
        <v>308</v>
      </c>
      <c r="F120" s="403"/>
      <c r="G120" s="403"/>
      <c r="H120" s="401"/>
    </row>
    <row r="121" spans="1:8" x14ac:dyDescent="0.35">
      <c r="A121" s="266" t="s">
        <v>388</v>
      </c>
      <c r="B121" s="267"/>
      <c r="C121" s="198" t="s">
        <v>312</v>
      </c>
      <c r="D121" s="198">
        <v>1.67</v>
      </c>
      <c r="E121" s="193" t="s">
        <v>313</v>
      </c>
      <c r="F121" s="403"/>
      <c r="G121" s="403"/>
      <c r="H121" s="401"/>
    </row>
    <row r="122" spans="1:8" x14ac:dyDescent="0.35">
      <c r="A122" s="266" t="s">
        <v>381</v>
      </c>
      <c r="B122" s="267"/>
      <c r="C122" s="198" t="s">
        <v>315</v>
      </c>
      <c r="D122" s="134" t="e">
        <f>(F97*D114)/(D120*(D111+D114)*D121)</f>
        <v>#VALUE!</v>
      </c>
      <c r="E122" s="193" t="s">
        <v>316</v>
      </c>
      <c r="F122" s="403"/>
      <c r="G122" s="403"/>
      <c r="H122" s="401"/>
    </row>
    <row r="123" spans="1:8" x14ac:dyDescent="0.35">
      <c r="A123" s="266" t="s">
        <v>382</v>
      </c>
      <c r="B123" s="267"/>
      <c r="C123" s="198" t="s">
        <v>315</v>
      </c>
      <c r="D123" s="218"/>
      <c r="E123" s="193" t="s">
        <v>316</v>
      </c>
      <c r="F123" s="403" t="str">
        <f>IF(D123="","",IF(D123&lt;D122,"Does not meet sizing criteria",""))</f>
        <v/>
      </c>
      <c r="G123" s="403"/>
      <c r="H123" s="401"/>
    </row>
    <row r="124" spans="1:8" ht="13" x14ac:dyDescent="0.35">
      <c r="A124" s="390" t="s">
        <v>468</v>
      </c>
      <c r="B124" s="390"/>
      <c r="C124" s="390"/>
      <c r="D124" s="390"/>
      <c r="E124" s="390"/>
      <c r="F124" s="390"/>
      <c r="G124" s="390"/>
      <c r="H124" s="404"/>
    </row>
    <row r="125" spans="1:8" ht="13.15" customHeight="1" x14ac:dyDescent="0.35">
      <c r="A125" s="398" t="s">
        <v>469</v>
      </c>
      <c r="B125" s="399"/>
      <c r="C125" s="400"/>
      <c r="D125" s="150" t="str">
        <f>IF(F97="","",IF(D100="Yes",0,IF(AND(D98="Surface Sand Filter",D101&lt;2,D106="No"),0,IF(AND(D98="Surface Sand Filter",D102&lt;2,D106="No"),0,IF(AND(D98="Underground Sand Filter",D101&lt;2,D102&lt;2),0,IF(AND(D98="Perimeter Sand Filter",D101&lt;2,D102&lt;2),0,IF(D103&gt;0,0,IF(D104&gt;0,0,IF(AND(D98="Surface Sand Filter",D105="Yes",D106="No"),0,IF(AND(D98="Underground Sand Filter",D105="Yes"),0,IF(AND(D98="Perimeter Sand Filter",D105="Yes"),0,IF(D107="No",0,IF(D108="No",0,IF(D109="No",0,IF(AND(D98="Underground Sand Filter",D110&lt;5),0,IF(D111&gt;0.5,0,IF(D112&gt;1.5,0,IF(AND(D98="Surface Sand Filter",D113&lt;3),0,IF(AND(D98="Underground Sand Filter",D113&lt;3),0,IF(AND(D98="Surface Sand Filter",OR(D114&lt;1.5,D114&gt;2)),0,IF(AND(D98="Underground Sand Filter",OR(D114&lt;1.5,D114&gt;2)),0,IF(AND(D98="Perimeter Sand Filter",OR(D114&lt;1,D114&gt;2)),0,IF(OR(D115&lt;10,D115&gt;10),0,IF(D116&gt;15,0,IF(D117&lt;12,0,IF(D123&lt;D122,0,F97))))))))))))))))))))))))))</f>
        <v/>
      </c>
      <c r="E125" s="398" t="s">
        <v>2</v>
      </c>
      <c r="F125" s="399"/>
      <c r="G125" s="399"/>
      <c r="H125" s="399"/>
    </row>
    <row r="143" spans="1:8" ht="13" x14ac:dyDescent="0.35">
      <c r="A143" s="16" t="s">
        <v>56</v>
      </c>
      <c r="B143" s="225" t="str">
        <f>IF('STEP 2-WQv Calculation'!$B$4="","",'STEP 2-WQv Calculation'!$B$4)</f>
        <v/>
      </c>
      <c r="C143" s="199"/>
      <c r="D143" s="199"/>
      <c r="E143" s="199"/>
      <c r="F143" s="199"/>
      <c r="G143" s="199"/>
      <c r="H143" s="199"/>
    </row>
    <row r="144" spans="1:8" ht="13" x14ac:dyDescent="0.35">
      <c r="A144" s="241" t="s">
        <v>293</v>
      </c>
      <c r="B144" s="241"/>
      <c r="C144" s="241"/>
      <c r="D144" s="241"/>
      <c r="E144" s="241"/>
      <c r="F144" s="241"/>
      <c r="G144" s="241"/>
      <c r="H144" s="236"/>
    </row>
    <row r="145" spans="1:8" ht="38.5" x14ac:dyDescent="0.35">
      <c r="A145" s="204" t="s">
        <v>60</v>
      </c>
      <c r="B145" s="205" t="s">
        <v>61</v>
      </c>
      <c r="C145" s="205" t="s">
        <v>62</v>
      </c>
      <c r="D145" s="205" t="s">
        <v>63</v>
      </c>
      <c r="E145" s="205" t="s">
        <v>64</v>
      </c>
      <c r="F145" s="205" t="s">
        <v>65</v>
      </c>
      <c r="G145" s="205" t="s">
        <v>244</v>
      </c>
      <c r="H145" s="205" t="s">
        <v>13</v>
      </c>
    </row>
    <row r="146" spans="1:8" ht="25.5" customHeight="1" x14ac:dyDescent="0.35">
      <c r="A146" s="218"/>
      <c r="B146" s="3" t="str">
        <f>IF($A146="","",(LOOKUP($A146,'STEP 2-WQv Calculation'!$A$8:$A$37,'STEP 2-WQv Calculation'!$B$8:$B$37)))</f>
        <v/>
      </c>
      <c r="C146" s="3" t="str">
        <f>IF($A146="","",(LOOKUP($A146,'STEP 2-WQv Calculation'!$A$8:$A$37,'STEP 2-WQv Calculation'!$C$8:$C$37)))</f>
        <v/>
      </c>
      <c r="D146" s="212" t="str">
        <f>IF($A146="","",(LOOKUP($A146,'STEP 2-WQv Calculation'!$A$8:$A$37,'STEP 2-WQv Calculation'!$D$8:$D$37)))</f>
        <v/>
      </c>
      <c r="E146" s="3" t="str">
        <f>IF($A146="","",(LOOKUP($A146,'STEP 2-WQv Calculation'!$A$8:$A$37,'STEP 2-WQv Calculation'!$E$8:$E$37)))</f>
        <v/>
      </c>
      <c r="F146" s="217" t="str">
        <f>IF($A146="","",(LOOKUP($A146,'STEP 2-WQv Calculation'!$A$8:$A$37,'STEP 2-WQv Calculation'!$F$8:$F$37)))</f>
        <v/>
      </c>
      <c r="G146" s="22">
        <f>'STEP 2-WQv Calculation'!B5</f>
        <v>0</v>
      </c>
      <c r="H146" s="195" t="str">
        <f>IF($A146="","",(LOOKUP($A146,'STEP 2-WQv Calculation'!$A$8:$A$37,'STEP 2-WQv Calculation'!$G$8:$G$37)))</f>
        <v/>
      </c>
    </row>
    <row r="147" spans="1:8" ht="12.75" customHeight="1" x14ac:dyDescent="0.35">
      <c r="A147" s="242" t="s">
        <v>548</v>
      </c>
      <c r="B147" s="243"/>
      <c r="C147" s="244"/>
      <c r="D147" s="364" t="s">
        <v>136</v>
      </c>
      <c r="E147" s="365"/>
      <c r="F147" s="365"/>
      <c r="G147" s="365"/>
      <c r="H147" s="365"/>
    </row>
    <row r="148" spans="1:8" ht="13" x14ac:dyDescent="0.3">
      <c r="A148" s="273" t="s">
        <v>226</v>
      </c>
      <c r="B148" s="273"/>
      <c r="C148" s="273"/>
      <c r="D148" s="273"/>
      <c r="E148" s="273"/>
      <c r="F148" s="273"/>
      <c r="G148" s="273"/>
      <c r="H148" s="248"/>
    </row>
    <row r="149" spans="1:8" x14ac:dyDescent="0.35">
      <c r="A149" s="242" t="s">
        <v>494</v>
      </c>
      <c r="B149" s="243"/>
      <c r="C149" s="244"/>
      <c r="D149" s="227" t="str">
        <f>IF(B146="","",IF(AND(D147="Surface Sand Filter",B146&gt;10),"Yes",IF(AND(D147="Underground Sand Filter",B146&gt;2),"Yes",IF(AND(D147="Perimeter Sand Filter",B146&gt;2),"Yes","No"))))</f>
        <v/>
      </c>
      <c r="E149" s="401" t="str">
        <f>IF(D149="Yes","Does not meet feasibility criteria","")</f>
        <v/>
      </c>
      <c r="F149" s="402"/>
      <c r="G149" s="402"/>
      <c r="H149" s="402"/>
    </row>
    <row r="150" spans="1:8" x14ac:dyDescent="0.35">
      <c r="A150" s="242" t="s">
        <v>296</v>
      </c>
      <c r="B150" s="243"/>
      <c r="C150" s="244"/>
      <c r="D150" s="43"/>
      <c r="E150" s="401" t="str">
        <f>IF(D150="","",IF(AND(D150&lt;2,D147="Surface Sand Filter"),"Impermeable liner shall be provided",IF(AND(D150&lt;2,D147="Underground Sand Filter"),"Does not meet design criteria",IF(AND(D150&lt;2,D147="Perimeter Sand Filter"),"Does not meet design criteria",""))))</f>
        <v/>
      </c>
      <c r="F150" s="402"/>
      <c r="G150" s="402"/>
      <c r="H150" s="402"/>
    </row>
    <row r="151" spans="1:8" x14ac:dyDescent="0.35">
      <c r="A151" s="242" t="s">
        <v>297</v>
      </c>
      <c r="B151" s="243"/>
      <c r="C151" s="244"/>
      <c r="D151" s="43"/>
      <c r="E151" s="401" t="str">
        <f>IF(D151="","",IF(AND(D151&lt;2,D147="Surface Sand Filter"),"Impermeable liner shall be provided",IF(AND(D151&lt;2,D147="Underground Sand Filter"),"Does not meet design criteria",IF(AND(D151&lt;2,D147="Perimeter Sand Filter"),"Does not meet design criteria",""))))</f>
        <v/>
      </c>
      <c r="F151" s="402"/>
      <c r="G151" s="402"/>
      <c r="H151" s="402"/>
    </row>
    <row r="152" spans="1:8" x14ac:dyDescent="0.35">
      <c r="A152" s="242" t="s">
        <v>549</v>
      </c>
      <c r="B152" s="243"/>
      <c r="C152" s="244"/>
      <c r="D152" s="211"/>
      <c r="E152" s="401" t="str">
        <f>IF(D152="","",IF(D152=0,"","Does not meet design criteria"))</f>
        <v/>
      </c>
      <c r="F152" s="402"/>
      <c r="G152" s="402"/>
      <c r="H152" s="402"/>
    </row>
    <row r="153" spans="1:8" x14ac:dyDescent="0.35">
      <c r="A153" s="242" t="s">
        <v>550</v>
      </c>
      <c r="B153" s="243"/>
      <c r="C153" s="244"/>
      <c r="D153" s="43"/>
      <c r="E153" s="401" t="str">
        <f>IF(D153="","",IF(D153=0,"","Does not meet design criteria"))</f>
        <v/>
      </c>
      <c r="F153" s="402"/>
      <c r="G153" s="402"/>
      <c r="H153" s="402"/>
    </row>
    <row r="154" spans="1:8" x14ac:dyDescent="0.35">
      <c r="A154" s="242" t="s">
        <v>551</v>
      </c>
      <c r="B154" s="243"/>
      <c r="C154" s="244"/>
      <c r="D154" s="211"/>
      <c r="E154" s="401" t="str">
        <f>IF(AND(D147="Surface Sand Filter",D154="Yes"),"Impermeable liner shall be provided",IF(AND(D147="Underground Sand Filter",D154="Yes"),"Does not meet design criteria",IF(AND(D147="Perimeter Sand Filter",D154="Yes"),"Does not meet design criteria","")))</f>
        <v/>
      </c>
      <c r="F154" s="402"/>
      <c r="G154" s="402"/>
      <c r="H154" s="402"/>
    </row>
    <row r="155" spans="1:8" x14ac:dyDescent="0.35">
      <c r="A155" s="242" t="s">
        <v>443</v>
      </c>
      <c r="B155" s="243"/>
      <c r="C155" s="244"/>
      <c r="D155" s="211"/>
      <c r="E155" s="322" t="str">
        <f>IF(AND(D147="Underground Sand Filter",D155=""),"Not Applicable",IF(AND(D147="Perimeter Sand Filter",D155=""),"Not Applicable",IF(AND(D147="Surface Sand Filter",D155="No",OR(E150="Impermeable liner shall be provided",E151="Impermeable liner shall be provided")),"Does not meet design criteria",IF(AND(D147="Surface Sand Filter",D154="Yes",D155="No"),"Does not meet design criteria",""))))</f>
        <v/>
      </c>
      <c r="F155" s="323"/>
      <c r="G155" s="323"/>
      <c r="H155" s="323"/>
    </row>
    <row r="156" spans="1:8" x14ac:dyDescent="0.35">
      <c r="A156" s="242" t="s">
        <v>552</v>
      </c>
      <c r="B156" s="243"/>
      <c r="C156" s="244"/>
      <c r="D156" s="211"/>
      <c r="E156" s="322" t="str">
        <f>IF(D156="","",IF(D156="No","Does not meet design criteria",""))</f>
        <v/>
      </c>
      <c r="F156" s="323"/>
      <c r="G156" s="323"/>
      <c r="H156" s="323"/>
    </row>
    <row r="157" spans="1:8" x14ac:dyDescent="0.35">
      <c r="A157" s="242" t="s">
        <v>553</v>
      </c>
      <c r="B157" s="243"/>
      <c r="C157" s="244"/>
      <c r="D157" s="211"/>
      <c r="E157" s="322" t="str">
        <f>IF(D157="","",IF(D157="No","Does not meet design criteria",""))</f>
        <v/>
      </c>
      <c r="F157" s="323"/>
      <c r="G157" s="323"/>
      <c r="H157" s="323"/>
    </row>
    <row r="158" spans="1:8" x14ac:dyDescent="0.35">
      <c r="A158" s="242" t="s">
        <v>554</v>
      </c>
      <c r="B158" s="243"/>
      <c r="C158" s="244"/>
      <c r="D158" s="211"/>
      <c r="E158" s="401" t="str">
        <f>IF(D158="","",IF(D158="No","Does not meet design criteria",""))</f>
        <v/>
      </c>
      <c r="F158" s="402"/>
      <c r="G158" s="402"/>
      <c r="H158" s="402"/>
    </row>
    <row r="159" spans="1:8" x14ac:dyDescent="0.35">
      <c r="A159" s="242" t="s">
        <v>555</v>
      </c>
      <c r="B159" s="243"/>
      <c r="C159" s="244"/>
      <c r="D159" s="43"/>
      <c r="E159" s="322" t="str">
        <f>IF(D147="Surface Sand Filter","Not Applicable",IF(AND(D147="Underground Sand Filter",D159=""),"",IF(AND(D147="Underground Sand Filter",D159&lt;5),"Does not meet design criteria",IF(D147="Perimeter Sand Filter","Not Applicable",""))))</f>
        <v>Not Applicable</v>
      </c>
      <c r="F159" s="323"/>
      <c r="G159" s="323"/>
      <c r="H159" s="323"/>
    </row>
    <row r="160" spans="1:8" ht="12.75" customHeight="1" x14ac:dyDescent="0.35">
      <c r="A160" s="245" t="s">
        <v>556</v>
      </c>
      <c r="B160" s="245"/>
      <c r="C160" s="245"/>
      <c r="D160" s="43"/>
      <c r="E160" s="322" t="str">
        <f>IF(D160="","",IF(D160&gt;0.5,"Does not meet design criteria",""))</f>
        <v/>
      </c>
      <c r="F160" s="323"/>
      <c r="G160" s="323"/>
      <c r="H160" s="323"/>
    </row>
    <row r="161" spans="1:8" x14ac:dyDescent="0.35">
      <c r="A161" s="242" t="s">
        <v>557</v>
      </c>
      <c r="B161" s="243"/>
      <c r="C161" s="244"/>
      <c r="D161" s="43"/>
      <c r="E161" s="322" t="str">
        <f>IF(D161="","",IF(D161&gt;1.5,"Does not meet design criteria",""))</f>
        <v/>
      </c>
      <c r="F161" s="323"/>
      <c r="G161" s="323"/>
      <c r="H161" s="323"/>
    </row>
    <row r="162" spans="1:8" x14ac:dyDescent="0.35">
      <c r="A162" s="242" t="s">
        <v>378</v>
      </c>
      <c r="B162" s="243"/>
      <c r="C162" s="244"/>
      <c r="D162" s="43"/>
      <c r="E162" s="322" t="str">
        <f>IF(AND(D147="Surface Sand Filter",D162=""),"",IF(AND(D147="Surface Sand Filter",D162&lt;3),"Does not meet design criteria",IF(AND(D147="Underground Sand Filter",D162=""),"",IF(AND(D147="Underground Sand Filter",D162&lt;3),"Does not meet design criteria",IF(AND(D147="Perimeter Sand Filter",D162=""),"Not Applicable","")))))</f>
        <v/>
      </c>
      <c r="F162" s="323"/>
      <c r="G162" s="323"/>
      <c r="H162" s="323"/>
    </row>
    <row r="163" spans="1:8" x14ac:dyDescent="0.35">
      <c r="A163" s="242" t="s">
        <v>558</v>
      </c>
      <c r="B163" s="243"/>
      <c r="C163" s="244"/>
      <c r="D163" s="43"/>
      <c r="E163" s="322" t="str">
        <f>IF(D163="","",IF(AND(OR(D147="Surface Sand Filter",D147="Underground Sand Filter")*OR(D163&lt;1.5,D163&gt;2)),"Does not meet design criteria",IF(AND(D147="Perimeter Sand Filter",OR(D163&lt;1,D163&gt;2)),"Does not meet design criteria","")))</f>
        <v/>
      </c>
      <c r="F163" s="323"/>
      <c r="G163" s="323"/>
      <c r="H163" s="323"/>
    </row>
    <row r="164" spans="1:8" x14ac:dyDescent="0.35">
      <c r="A164" s="242" t="s">
        <v>402</v>
      </c>
      <c r="B164" s="243"/>
      <c r="C164" s="244"/>
      <c r="D164" s="43"/>
      <c r="E164" s="322" t="str">
        <f>IF(D164="","",IF(D164=10,"","Does not meet design criteria"))</f>
        <v/>
      </c>
      <c r="F164" s="323"/>
      <c r="G164" s="323"/>
      <c r="H164" s="323"/>
    </row>
    <row r="165" spans="1:8" x14ac:dyDescent="0.35">
      <c r="A165" s="242" t="s">
        <v>520</v>
      </c>
      <c r="B165" s="243"/>
      <c r="C165" s="244"/>
      <c r="D165" s="43"/>
      <c r="E165" s="322" t="str">
        <f>IF(D165="","",IF(D165&gt;15,"Does not meet design criteria",""))</f>
        <v/>
      </c>
      <c r="F165" s="323"/>
      <c r="G165" s="323"/>
      <c r="H165" s="323"/>
    </row>
    <row r="166" spans="1:8" x14ac:dyDescent="0.35">
      <c r="A166" s="242" t="s">
        <v>461</v>
      </c>
      <c r="B166" s="243"/>
      <c r="C166" s="244"/>
      <c r="D166" s="43"/>
      <c r="E166" s="401" t="str">
        <f>IF(D166="","",IF(D166&lt;12,"Does not meet design criteria",""))</f>
        <v/>
      </c>
      <c r="F166" s="402"/>
      <c r="G166" s="402"/>
      <c r="H166" s="402"/>
    </row>
    <row r="167" spans="1:8" ht="13" x14ac:dyDescent="0.35">
      <c r="A167" s="241" t="s">
        <v>232</v>
      </c>
      <c r="B167" s="241"/>
      <c r="C167" s="241"/>
      <c r="D167" s="241"/>
      <c r="E167" s="241"/>
      <c r="F167" s="241"/>
      <c r="G167" s="241"/>
      <c r="H167" s="236"/>
    </row>
    <row r="168" spans="1:8" x14ac:dyDescent="0.35">
      <c r="A168" s="378"/>
      <c r="B168" s="379"/>
      <c r="C168" s="380"/>
      <c r="D168" s="222" t="s">
        <v>256</v>
      </c>
      <c r="E168" s="38" t="s">
        <v>257</v>
      </c>
      <c r="F168" s="415" t="s">
        <v>258</v>
      </c>
      <c r="G168" s="416"/>
      <c r="H168" s="416"/>
    </row>
    <row r="169" spans="1:8" x14ac:dyDescent="0.35">
      <c r="A169" s="266" t="s">
        <v>306</v>
      </c>
      <c r="B169" s="267"/>
      <c r="C169" s="198" t="s">
        <v>307</v>
      </c>
      <c r="D169" s="198">
        <v>3.5</v>
      </c>
      <c r="E169" s="193" t="s">
        <v>308</v>
      </c>
      <c r="F169" s="403"/>
      <c r="G169" s="403"/>
      <c r="H169" s="401"/>
    </row>
    <row r="170" spans="1:8" x14ac:dyDescent="0.35">
      <c r="A170" s="266" t="s">
        <v>388</v>
      </c>
      <c r="B170" s="267"/>
      <c r="C170" s="198" t="s">
        <v>312</v>
      </c>
      <c r="D170" s="198">
        <v>1.67</v>
      </c>
      <c r="E170" s="193" t="s">
        <v>313</v>
      </c>
      <c r="F170" s="403"/>
      <c r="G170" s="403"/>
      <c r="H170" s="401"/>
    </row>
    <row r="171" spans="1:8" x14ac:dyDescent="0.35">
      <c r="A171" s="266" t="s">
        <v>381</v>
      </c>
      <c r="B171" s="267"/>
      <c r="C171" s="198" t="s">
        <v>315</v>
      </c>
      <c r="D171" s="134" t="e">
        <f>(F146*D163)/(D169*(D160+D163)*D170)</f>
        <v>#VALUE!</v>
      </c>
      <c r="E171" s="193" t="s">
        <v>316</v>
      </c>
      <c r="F171" s="403"/>
      <c r="G171" s="403"/>
      <c r="H171" s="401"/>
    </row>
    <row r="172" spans="1:8" x14ac:dyDescent="0.35">
      <c r="A172" s="266" t="s">
        <v>382</v>
      </c>
      <c r="B172" s="267"/>
      <c r="C172" s="198" t="s">
        <v>315</v>
      </c>
      <c r="D172" s="218"/>
      <c r="E172" s="193" t="s">
        <v>316</v>
      </c>
      <c r="F172" s="403" t="str">
        <f>IF(D172="","",IF(D172&lt;D171,"Does not meet sizing criteria",""))</f>
        <v/>
      </c>
      <c r="G172" s="403"/>
      <c r="H172" s="401"/>
    </row>
    <row r="173" spans="1:8" ht="13" x14ac:dyDescent="0.35">
      <c r="A173" s="390" t="s">
        <v>468</v>
      </c>
      <c r="B173" s="390"/>
      <c r="C173" s="390"/>
      <c r="D173" s="390"/>
      <c r="E173" s="390"/>
      <c r="F173" s="390"/>
      <c r="G173" s="390"/>
      <c r="H173" s="404"/>
    </row>
    <row r="174" spans="1:8" ht="13.15" customHeight="1" x14ac:dyDescent="0.35">
      <c r="A174" s="398" t="s">
        <v>469</v>
      </c>
      <c r="B174" s="399"/>
      <c r="C174" s="400"/>
      <c r="D174" s="150" t="str">
        <f>IF(F146="","",IF(D149="Yes",0,IF(AND(D147="Surface Sand Filter",D150&lt;2,D155="No"),0,IF(AND(D147="Surface Sand Filter",D151&lt;2,D155="No"),0,IF(AND(D147="Underground Sand Filter",D150&lt;2,D151&lt;2),0,IF(AND(D147="Perimeter Sand Filter",D150&lt;2,D151&lt;2),0,IF(D152&gt;0,0,IF(D153&gt;0,0,IF(AND(D147="Surface Sand Filter",D154="Yes",D155="No"),0,IF(AND(D147="Underground Sand Filter",D154="Yes"),0,IF(AND(D147="Perimeter Sand Filter",D154="Yes"),0,IF(D156="No",0,IF(D157="No",0,IF(D158="No",0,IF(AND(D147="Underground Sand Filter",D159&lt;5),0,IF(D160&gt;0.5,0,IF(D161&gt;1.5,0,IF(AND(D147="Surface Sand Filter",D162&lt;3),0,IF(AND(D147="Underground Sand Filter",D162&lt;3),0,IF(AND(D147="Surface Sand Filter",OR(D163&lt;1.5,D163&gt;2)),0,IF(AND(D147="Underground Sand Filter",OR(D163&lt;1.5,D163&gt;2)),0,IF(AND(D147="Perimeter Sand Filter",OR(D163&lt;1,D163&gt;2)),0,IF(OR(D164&lt;10,D164&gt;10),0,IF(D165&gt;15,0,IF(D166&lt;12,0,IF(D172&lt;D171,0,F146))))))))))))))))))))))))))</f>
        <v/>
      </c>
      <c r="E174" s="398" t="s">
        <v>2</v>
      </c>
      <c r="F174" s="399"/>
      <c r="G174" s="399"/>
      <c r="H174" s="399"/>
    </row>
    <row r="192" spans="1:8" ht="13" x14ac:dyDescent="0.35">
      <c r="A192" s="16" t="s">
        <v>56</v>
      </c>
      <c r="B192" s="225" t="str">
        <f>IF('STEP 2-WQv Calculation'!$B$4="","",'STEP 2-WQv Calculation'!$B$4)</f>
        <v/>
      </c>
      <c r="C192" s="199"/>
      <c r="D192" s="199"/>
      <c r="E192" s="199"/>
      <c r="F192" s="199"/>
      <c r="G192" s="199"/>
      <c r="H192" s="199"/>
    </row>
    <row r="193" spans="1:8" ht="13" x14ac:dyDescent="0.35">
      <c r="A193" s="241" t="s">
        <v>293</v>
      </c>
      <c r="B193" s="241"/>
      <c r="C193" s="241"/>
      <c r="D193" s="241"/>
      <c r="E193" s="241"/>
      <c r="F193" s="241"/>
      <c r="G193" s="241"/>
      <c r="H193" s="236"/>
    </row>
    <row r="194" spans="1:8" ht="38.5" x14ac:dyDescent="0.35">
      <c r="A194" s="204" t="s">
        <v>60</v>
      </c>
      <c r="B194" s="205" t="s">
        <v>61</v>
      </c>
      <c r="C194" s="205" t="s">
        <v>62</v>
      </c>
      <c r="D194" s="205" t="s">
        <v>63</v>
      </c>
      <c r="E194" s="205" t="s">
        <v>64</v>
      </c>
      <c r="F194" s="205" t="s">
        <v>65</v>
      </c>
      <c r="G194" s="205" t="s">
        <v>244</v>
      </c>
      <c r="H194" s="205" t="s">
        <v>13</v>
      </c>
    </row>
    <row r="195" spans="1:8" ht="24.75" customHeight="1" x14ac:dyDescent="0.35">
      <c r="A195" s="218"/>
      <c r="B195" s="3" t="str">
        <f>IF($A195="","",(LOOKUP($A195,'STEP 2-WQv Calculation'!$A$8:$A$37,'STEP 2-WQv Calculation'!$B$8:$B$37)))</f>
        <v/>
      </c>
      <c r="C195" s="3" t="str">
        <f>IF($A195="","",(LOOKUP($A195,'STEP 2-WQv Calculation'!$A$8:$A$37,'STEP 2-WQv Calculation'!$C$8:$C$37)))</f>
        <v/>
      </c>
      <c r="D195" s="212" t="str">
        <f>IF($A195="","",(LOOKUP($A195,'STEP 2-WQv Calculation'!$A$8:$A$37,'STEP 2-WQv Calculation'!$D$8:$D$37)))</f>
        <v/>
      </c>
      <c r="E195" s="3" t="str">
        <f>IF($A195="","",(LOOKUP($A195,'STEP 2-WQv Calculation'!$A$8:$A$37,'STEP 2-WQv Calculation'!$E$8:$E$37)))</f>
        <v/>
      </c>
      <c r="F195" s="217" t="str">
        <f>IF($A195="","",(LOOKUP($A195,'STEP 2-WQv Calculation'!$A$8:$A$37,'STEP 2-WQv Calculation'!$F$8:$F$37)))</f>
        <v/>
      </c>
      <c r="G195" s="22">
        <f>'STEP 2-WQv Calculation'!B5</f>
        <v>0</v>
      </c>
      <c r="H195" s="195" t="str">
        <f>IF($A195="","",(LOOKUP($A195,'STEP 2-WQv Calculation'!$A$8:$A$37,'STEP 2-WQv Calculation'!$G$8:$G$37)))</f>
        <v/>
      </c>
    </row>
    <row r="196" spans="1:8" ht="12.75" customHeight="1" x14ac:dyDescent="0.35">
      <c r="A196" s="242" t="s">
        <v>548</v>
      </c>
      <c r="B196" s="243"/>
      <c r="C196" s="244"/>
      <c r="D196" s="364" t="s">
        <v>136</v>
      </c>
      <c r="E196" s="365"/>
      <c r="F196" s="365"/>
      <c r="G196" s="365"/>
      <c r="H196" s="365"/>
    </row>
    <row r="197" spans="1:8" ht="13" x14ac:dyDescent="0.3">
      <c r="A197" s="273" t="s">
        <v>226</v>
      </c>
      <c r="B197" s="273"/>
      <c r="C197" s="273"/>
      <c r="D197" s="273"/>
      <c r="E197" s="273"/>
      <c r="F197" s="273"/>
      <c r="G197" s="273"/>
      <c r="H197" s="248"/>
    </row>
    <row r="198" spans="1:8" x14ac:dyDescent="0.35">
      <c r="A198" s="242" t="s">
        <v>494</v>
      </c>
      <c r="B198" s="243"/>
      <c r="C198" s="244"/>
      <c r="D198" s="227" t="str">
        <f>IF(B195="","",IF(AND(D196="Surface Sand Filter",B195&gt;10),"Yes",IF(AND(D196="Underground Sand Filter",B195&gt;2),"Yes",IF(AND(D196="Perimeter Sand Filter",B195&gt;2),"Yes","No"))))</f>
        <v/>
      </c>
      <c r="E198" s="401" t="str">
        <f>IF(D198="Yes","Does not meet feasibility criteria","")</f>
        <v/>
      </c>
      <c r="F198" s="402"/>
      <c r="G198" s="402"/>
      <c r="H198" s="402"/>
    </row>
    <row r="199" spans="1:8" x14ac:dyDescent="0.35">
      <c r="A199" s="242" t="s">
        <v>296</v>
      </c>
      <c r="B199" s="243"/>
      <c r="C199" s="244"/>
      <c r="D199" s="43"/>
      <c r="E199" s="401" t="str">
        <f>IF(D199="","",IF(AND(D199&lt;2,D196="Surface Sand Filter"),"Impermeable liner shall be provided",IF(AND(D199&lt;2,D196="Underground Sand Filter"),"Does not meet design criteria",IF(AND(D199&lt;2,D196="Perimeter Sand Filter"),"Does not meet design criteria",""))))</f>
        <v/>
      </c>
      <c r="F199" s="402"/>
      <c r="G199" s="402"/>
      <c r="H199" s="402"/>
    </row>
    <row r="200" spans="1:8" x14ac:dyDescent="0.35">
      <c r="A200" s="242" t="s">
        <v>297</v>
      </c>
      <c r="B200" s="243"/>
      <c r="C200" s="244"/>
      <c r="D200" s="43"/>
      <c r="E200" s="401" t="str">
        <f>IF(D200="","",IF(AND(D200&lt;2,D196="Surface Sand Filter"),"Impermeable liner shall be provided",IF(AND(D200&lt;2,D196="Underground Sand Filter"),"Does not meet design criteria",IF(AND(D200&lt;2,D196="Perimeter Sand Filter"),"Does not meet design criteria",""))))</f>
        <v/>
      </c>
      <c r="F200" s="402"/>
      <c r="G200" s="402"/>
      <c r="H200" s="402"/>
    </row>
    <row r="201" spans="1:8" x14ac:dyDescent="0.35">
      <c r="A201" s="242" t="s">
        <v>549</v>
      </c>
      <c r="B201" s="243"/>
      <c r="C201" s="244"/>
      <c r="D201" s="211"/>
      <c r="E201" s="401" t="str">
        <f>IF(D201="","",IF(D201=0,"","Does not meet design criteria"))</f>
        <v/>
      </c>
      <c r="F201" s="402"/>
      <c r="G201" s="402"/>
      <c r="H201" s="402"/>
    </row>
    <row r="202" spans="1:8" x14ac:dyDescent="0.35">
      <c r="A202" s="242" t="s">
        <v>550</v>
      </c>
      <c r="B202" s="243"/>
      <c r="C202" s="244"/>
      <c r="D202" s="43"/>
      <c r="E202" s="401" t="str">
        <f>IF(D202="","",IF(D202=0,"","Does not meet design criteria"))</f>
        <v/>
      </c>
      <c r="F202" s="402"/>
      <c r="G202" s="402"/>
      <c r="H202" s="402"/>
    </row>
    <row r="203" spans="1:8" x14ac:dyDescent="0.35">
      <c r="A203" s="242" t="s">
        <v>551</v>
      </c>
      <c r="B203" s="243"/>
      <c r="C203" s="244"/>
      <c r="D203" s="211"/>
      <c r="E203" s="401" t="str">
        <f>IF(AND(D196="Surface Sand Filter",D203="Yes"),"Impermeable liner shall be provided",IF(AND(D196="Underground Sand Filter",D203="Yes"),"Does not meet design criteria",IF(AND(D196="Perimeter Sand Filter",D203="Yes"),"Does not meet design criteria","")))</f>
        <v/>
      </c>
      <c r="F203" s="402"/>
      <c r="G203" s="402"/>
      <c r="H203" s="402"/>
    </row>
    <row r="204" spans="1:8" x14ac:dyDescent="0.35">
      <c r="A204" s="242" t="s">
        <v>443</v>
      </c>
      <c r="B204" s="243"/>
      <c r="C204" s="244"/>
      <c r="D204" s="211"/>
      <c r="E204" s="322" t="str">
        <f>IF(AND(D196="Underground Sand Filter",D204=""),"Not Applicable",IF(AND(D196="Perimeter Sand Filter",D204=""),"Not Applicable",IF(AND(D196="Surface Sand Filter",D204="No",OR(E199="Impermeable liner shall be provided",E200="Impermeable liner shall be provided")),"Does not meet design criteria",IF(AND(D196="Surface Sand Filter",D203="Yes",D204="No"),"Does not meet design criteria",""))))</f>
        <v/>
      </c>
      <c r="F204" s="323"/>
      <c r="G204" s="323"/>
      <c r="H204" s="323"/>
    </row>
    <row r="205" spans="1:8" x14ac:dyDescent="0.35">
      <c r="A205" s="242" t="s">
        <v>552</v>
      </c>
      <c r="B205" s="243"/>
      <c r="C205" s="244"/>
      <c r="D205" s="211"/>
      <c r="E205" s="322" t="str">
        <f>IF(D205="","",IF(D205="No","Does not meet design criteria",""))</f>
        <v/>
      </c>
      <c r="F205" s="323"/>
      <c r="G205" s="323"/>
      <c r="H205" s="323"/>
    </row>
    <row r="206" spans="1:8" x14ac:dyDescent="0.35">
      <c r="A206" s="242" t="s">
        <v>553</v>
      </c>
      <c r="B206" s="243"/>
      <c r="C206" s="244"/>
      <c r="D206" s="211"/>
      <c r="E206" s="322" t="str">
        <f>IF(D206="","",IF(D206="No","Does not meet design criteria",""))</f>
        <v/>
      </c>
      <c r="F206" s="323"/>
      <c r="G206" s="323"/>
      <c r="H206" s="323"/>
    </row>
    <row r="207" spans="1:8" x14ac:dyDescent="0.35">
      <c r="A207" s="242" t="s">
        <v>554</v>
      </c>
      <c r="B207" s="243"/>
      <c r="C207" s="244"/>
      <c r="D207" s="211"/>
      <c r="E207" s="401" t="str">
        <f>IF(D207="","",IF(D207="No","Does not meet design criteria",""))</f>
        <v/>
      </c>
      <c r="F207" s="402"/>
      <c r="G207" s="402"/>
      <c r="H207" s="402"/>
    </row>
    <row r="208" spans="1:8" x14ac:dyDescent="0.35">
      <c r="A208" s="242" t="s">
        <v>555</v>
      </c>
      <c r="B208" s="243"/>
      <c r="C208" s="244"/>
      <c r="D208" s="43"/>
      <c r="E208" s="322" t="str">
        <f>IF(D196="Surface Sand Filter","Not Applicable",IF(AND(D196="Underground Sand Filter",D208=""),"",IF(AND(D196="Underground Sand Filter",D208&lt;5),"Does not meet design criteria",IF(D196="Perimeter Sand Filter","Not Applicable",""))))</f>
        <v>Not Applicable</v>
      </c>
      <c r="F208" s="323"/>
      <c r="G208" s="323"/>
      <c r="H208" s="323"/>
    </row>
    <row r="209" spans="1:8" ht="12.75" customHeight="1" x14ac:dyDescent="0.35">
      <c r="A209" s="245" t="s">
        <v>556</v>
      </c>
      <c r="B209" s="245"/>
      <c r="C209" s="245"/>
      <c r="D209" s="43"/>
      <c r="E209" s="322" t="str">
        <f>IF(D209="","",IF(D209&gt;0.5,"Does not meet design criteria",""))</f>
        <v/>
      </c>
      <c r="F209" s="323"/>
      <c r="G209" s="323"/>
      <c r="H209" s="323"/>
    </row>
    <row r="210" spans="1:8" x14ac:dyDescent="0.35">
      <c r="A210" s="242" t="s">
        <v>557</v>
      </c>
      <c r="B210" s="243"/>
      <c r="C210" s="244"/>
      <c r="D210" s="43"/>
      <c r="E210" s="322" t="str">
        <f>IF(D210="","",IF(D210&gt;1.5,"Does not meet design criteria",""))</f>
        <v/>
      </c>
      <c r="F210" s="323"/>
      <c r="G210" s="323"/>
      <c r="H210" s="323"/>
    </row>
    <row r="211" spans="1:8" x14ac:dyDescent="0.35">
      <c r="A211" s="242" t="s">
        <v>378</v>
      </c>
      <c r="B211" s="243"/>
      <c r="C211" s="244"/>
      <c r="D211" s="43"/>
      <c r="E211" s="322" t="str">
        <f>IF(AND(D196="Surface Sand Filter",D211=""),"",IF(AND(D196="Surface Sand Filter",D211&lt;3),"Does not meet design criteria",IF(AND(D196="Underground Sand Filter",D211=""),"",IF(AND(D196="Underground Sand Filter",D211&lt;3),"Does not meet design criteria",IF(AND(D196="Perimeter Sand Filter",D211=""),"Not Applicable","")))))</f>
        <v/>
      </c>
      <c r="F211" s="323"/>
      <c r="G211" s="323"/>
      <c r="H211" s="323"/>
    </row>
    <row r="212" spans="1:8" x14ac:dyDescent="0.35">
      <c r="A212" s="242" t="s">
        <v>558</v>
      </c>
      <c r="B212" s="243"/>
      <c r="C212" s="244"/>
      <c r="D212" s="43"/>
      <c r="E212" s="322" t="str">
        <f>IF(D212="","",IF(AND(OR(D196="Surface Sand Filter",D196="Underground Sand Filter")*OR(D212&lt;1.5,D212&gt;2)),"Does not meet design criteria",IF(AND(D196="Perimeter Sand Filter",OR(D212&lt;1,D212&gt;2)),"Does not meet design criteria","")))</f>
        <v/>
      </c>
      <c r="F212" s="323"/>
      <c r="G212" s="323"/>
      <c r="H212" s="323"/>
    </row>
    <row r="213" spans="1:8" x14ac:dyDescent="0.35">
      <c r="A213" s="242" t="s">
        <v>402</v>
      </c>
      <c r="B213" s="243"/>
      <c r="C213" s="244"/>
      <c r="D213" s="43"/>
      <c r="E213" s="322" t="str">
        <f>IF(D213="","",IF(D213=10,"","Does not meet design criteria"))</f>
        <v/>
      </c>
      <c r="F213" s="323"/>
      <c r="G213" s="323"/>
      <c r="H213" s="323"/>
    </row>
    <row r="214" spans="1:8" x14ac:dyDescent="0.35">
      <c r="A214" s="242" t="s">
        <v>520</v>
      </c>
      <c r="B214" s="243"/>
      <c r="C214" s="244"/>
      <c r="D214" s="43"/>
      <c r="E214" s="322" t="str">
        <f>IF(D214="","",IF(D214&gt;15,"Does not meet design criteria",""))</f>
        <v/>
      </c>
      <c r="F214" s="323"/>
      <c r="G214" s="323"/>
      <c r="H214" s="323"/>
    </row>
    <row r="215" spans="1:8" x14ac:dyDescent="0.35">
      <c r="A215" s="242" t="s">
        <v>461</v>
      </c>
      <c r="B215" s="243"/>
      <c r="C215" s="244"/>
      <c r="D215" s="43"/>
      <c r="E215" s="401" t="str">
        <f>IF(D215="","",IF(D215&lt;12,"Does not meet design criteria",""))</f>
        <v/>
      </c>
      <c r="F215" s="402"/>
      <c r="G215" s="402"/>
      <c r="H215" s="402"/>
    </row>
    <row r="216" spans="1:8" ht="13" x14ac:dyDescent="0.35">
      <c r="A216" s="241" t="s">
        <v>232</v>
      </c>
      <c r="B216" s="241"/>
      <c r="C216" s="241"/>
      <c r="D216" s="241"/>
      <c r="E216" s="241"/>
      <c r="F216" s="241"/>
      <c r="G216" s="241"/>
      <c r="H216" s="236"/>
    </row>
    <row r="217" spans="1:8" x14ac:dyDescent="0.35">
      <c r="A217" s="378"/>
      <c r="B217" s="379"/>
      <c r="C217" s="380"/>
      <c r="D217" s="222" t="s">
        <v>256</v>
      </c>
      <c r="E217" s="38" t="s">
        <v>257</v>
      </c>
      <c r="F217" s="415" t="s">
        <v>258</v>
      </c>
      <c r="G217" s="416"/>
      <c r="H217" s="416"/>
    </row>
    <row r="218" spans="1:8" x14ac:dyDescent="0.35">
      <c r="A218" s="266" t="s">
        <v>306</v>
      </c>
      <c r="B218" s="267"/>
      <c r="C218" s="198" t="s">
        <v>307</v>
      </c>
      <c r="D218" s="198">
        <v>3.5</v>
      </c>
      <c r="E218" s="193" t="s">
        <v>308</v>
      </c>
      <c r="F218" s="403"/>
      <c r="G218" s="403"/>
      <c r="H218" s="401"/>
    </row>
    <row r="219" spans="1:8" x14ac:dyDescent="0.35">
      <c r="A219" s="266" t="s">
        <v>388</v>
      </c>
      <c r="B219" s="267"/>
      <c r="C219" s="198" t="s">
        <v>312</v>
      </c>
      <c r="D219" s="198">
        <v>1.67</v>
      </c>
      <c r="E219" s="193" t="s">
        <v>313</v>
      </c>
      <c r="F219" s="403"/>
      <c r="G219" s="403"/>
      <c r="H219" s="401"/>
    </row>
    <row r="220" spans="1:8" x14ac:dyDescent="0.35">
      <c r="A220" s="266" t="s">
        <v>381</v>
      </c>
      <c r="B220" s="267"/>
      <c r="C220" s="198" t="s">
        <v>315</v>
      </c>
      <c r="D220" s="134" t="e">
        <f>(F195*D212)/(D218*(D209+D212)*D219)</f>
        <v>#VALUE!</v>
      </c>
      <c r="E220" s="193" t="s">
        <v>316</v>
      </c>
      <c r="F220" s="403"/>
      <c r="G220" s="403"/>
      <c r="H220" s="401"/>
    </row>
    <row r="221" spans="1:8" x14ac:dyDescent="0.35">
      <c r="A221" s="266" t="s">
        <v>382</v>
      </c>
      <c r="B221" s="267"/>
      <c r="C221" s="198" t="s">
        <v>315</v>
      </c>
      <c r="D221" s="218"/>
      <c r="E221" s="193" t="s">
        <v>316</v>
      </c>
      <c r="F221" s="403" t="str">
        <f>IF(D221="","",IF(D221&lt;D220,"Does not meet sizing criteria",""))</f>
        <v/>
      </c>
      <c r="G221" s="403"/>
      <c r="H221" s="401"/>
    </row>
    <row r="222" spans="1:8" ht="13" x14ac:dyDescent="0.35">
      <c r="A222" s="390" t="s">
        <v>468</v>
      </c>
      <c r="B222" s="390"/>
      <c r="C222" s="390"/>
      <c r="D222" s="390"/>
      <c r="E222" s="390"/>
      <c r="F222" s="390"/>
      <c r="G222" s="390"/>
      <c r="H222" s="404"/>
    </row>
    <row r="223" spans="1:8" ht="13.15" customHeight="1" x14ac:dyDescent="0.35">
      <c r="A223" s="398" t="s">
        <v>469</v>
      </c>
      <c r="B223" s="399"/>
      <c r="C223" s="400"/>
      <c r="D223" s="150" t="str">
        <f>IF(F195="","",IF(D198="Yes",0,IF(AND(D196="Surface Sand Filter",D199&lt;2,D204="No"),0,IF(AND(D196="Surface Sand Filter",D200&lt;2,D204="No"),0,IF(AND(D196="Underground Sand Filter",D199&lt;2,D200&lt;2),0,IF(AND(D196="Perimeter Sand Filter",D199&lt;2,D200&lt;2),0,IF(D201&gt;0,0,IF(D202&gt;0,0,IF(AND(D196="Surface Sand Filter",D203="Yes",D204="No"),0,IF(AND(D196="Underground Sand Filter",D203="Yes"),0,IF(AND(D196="Perimeter Sand Filter",D203="Yes"),0,IF(D205="No",0,IF(D206="No",0,IF(D207="No",0,IF(AND(D196="Underground Sand Filter",D208&lt;5),0,IF(D209&gt;0.5,0,IF(D210&gt;1.5,0,IF(AND(D196="Surface Sand Filter",D211&lt;3),0,IF(AND(D196="Underground Sand Filter",D211&lt;3),0,IF(AND(D196="Surface Sand Filter",OR(D212&lt;1.5,D212&gt;2)),0,IF(AND(D196="Underground Sand Filter",OR(D212&lt;1.5,D212&gt;2)),0,IF(AND(D196="Perimeter Sand Filter",OR(D212&lt;1,D212&gt;2)),0,IF(OR(D213&lt;10,D213&gt;10),0,IF(D214&gt;15,0,IF(D215&lt;12,0,IF(D221&lt;D220,0,F195))))))))))))))))))))))))))</f>
        <v/>
      </c>
      <c r="E223" s="398" t="s">
        <v>2</v>
      </c>
      <c r="F223" s="399"/>
      <c r="G223" s="399"/>
      <c r="H223" s="399"/>
    </row>
  </sheetData>
  <sheetProtection algorithmName="SHA-512" hashValue="R5HqguSOz+fazFUsdM+OjP6FL6ezxig98j4R2v9/jOMdRtR5nuoIFAz/ysB/xrIfrMLRVp/d1NhNFOq57Cy0ww==" saltValue="Vk0WvfLQjS+RlM6jk2c8yA==" spinCount="100000" sheet="1" formatColumns="0" formatRows="0"/>
  <mergeCells count="282">
    <mergeCell ref="I2:J2"/>
    <mergeCell ref="I8:J8"/>
    <mergeCell ref="I14:J14"/>
    <mergeCell ref="A5:C5"/>
    <mergeCell ref="D5:H5"/>
    <mergeCell ref="A21:C21"/>
    <mergeCell ref="A22:C22"/>
    <mergeCell ref="A23:C23"/>
    <mergeCell ref="E23:H23"/>
    <mergeCell ref="E18:H18"/>
    <mergeCell ref="E19:H19"/>
    <mergeCell ref="E20:H20"/>
    <mergeCell ref="E21:H21"/>
    <mergeCell ref="E22:H22"/>
    <mergeCell ref="A17:C17"/>
    <mergeCell ref="E17:H17"/>
    <mergeCell ref="A18:C18"/>
    <mergeCell ref="A19:C19"/>
    <mergeCell ref="A20:C20"/>
    <mergeCell ref="A2:H2"/>
    <mergeCell ref="A7:C7"/>
    <mergeCell ref="E7:H7"/>
    <mergeCell ref="A8:C8"/>
    <mergeCell ref="E8:H8"/>
    <mergeCell ref="A6:H6"/>
    <mergeCell ref="A9:C9"/>
    <mergeCell ref="E9:H9"/>
    <mergeCell ref="A10:C10"/>
    <mergeCell ref="E10:H10"/>
    <mergeCell ref="A28:B28"/>
    <mergeCell ref="A29:B29"/>
    <mergeCell ref="A13:C13"/>
    <mergeCell ref="E13:H13"/>
    <mergeCell ref="A11:C11"/>
    <mergeCell ref="E11:H11"/>
    <mergeCell ref="A12:C12"/>
    <mergeCell ref="E12:H12"/>
    <mergeCell ref="A16:C16"/>
    <mergeCell ref="E16:H16"/>
    <mergeCell ref="A15:C15"/>
    <mergeCell ref="E15:H15"/>
    <mergeCell ref="A14:C14"/>
    <mergeCell ref="E14:H14"/>
    <mergeCell ref="I21:L21"/>
    <mergeCell ref="I22:J22"/>
    <mergeCell ref="I28:J28"/>
    <mergeCell ref="I34:J34"/>
    <mergeCell ref="A46:H46"/>
    <mergeCell ref="I1:L1"/>
    <mergeCell ref="N1:Q1"/>
    <mergeCell ref="N2:O2"/>
    <mergeCell ref="N8:O8"/>
    <mergeCell ref="N14:O14"/>
    <mergeCell ref="F30:H30"/>
    <mergeCell ref="A30:B30"/>
    <mergeCell ref="A31:H31"/>
    <mergeCell ref="A32:C32"/>
    <mergeCell ref="E32:H32"/>
    <mergeCell ref="F27:H27"/>
    <mergeCell ref="F28:H28"/>
    <mergeCell ref="F29:H29"/>
    <mergeCell ref="A24:C24"/>
    <mergeCell ref="E24:H24"/>
    <mergeCell ref="A25:H25"/>
    <mergeCell ref="A26:C26"/>
    <mergeCell ref="F26:H26"/>
    <mergeCell ref="A27:B27"/>
    <mergeCell ref="A52:C52"/>
    <mergeCell ref="E52:H52"/>
    <mergeCell ref="A53:C53"/>
    <mergeCell ref="E53:H53"/>
    <mergeCell ref="A54:C54"/>
    <mergeCell ref="E54:H54"/>
    <mergeCell ref="A49:C49"/>
    <mergeCell ref="D49:H49"/>
    <mergeCell ref="A50:H50"/>
    <mergeCell ref="A51:C51"/>
    <mergeCell ref="E51:H51"/>
    <mergeCell ref="A58:C58"/>
    <mergeCell ref="E58:H58"/>
    <mergeCell ref="A59:C59"/>
    <mergeCell ref="E59:H59"/>
    <mergeCell ref="A60:C60"/>
    <mergeCell ref="E60:H60"/>
    <mergeCell ref="A55:C55"/>
    <mergeCell ref="E55:H55"/>
    <mergeCell ref="A56:C56"/>
    <mergeCell ref="E56:H56"/>
    <mergeCell ref="A57:C57"/>
    <mergeCell ref="E57:H57"/>
    <mergeCell ref="A64:C64"/>
    <mergeCell ref="E64:H64"/>
    <mergeCell ref="A65:C65"/>
    <mergeCell ref="E65:H65"/>
    <mergeCell ref="A66:C66"/>
    <mergeCell ref="E66:H66"/>
    <mergeCell ref="A61:C61"/>
    <mergeCell ref="E61:H61"/>
    <mergeCell ref="A62:C62"/>
    <mergeCell ref="E62:H62"/>
    <mergeCell ref="A63:C63"/>
    <mergeCell ref="E63:H63"/>
    <mergeCell ref="A70:C70"/>
    <mergeCell ref="F70:H70"/>
    <mergeCell ref="A71:B71"/>
    <mergeCell ref="F71:H71"/>
    <mergeCell ref="A72:B72"/>
    <mergeCell ref="F72:H72"/>
    <mergeCell ref="A67:C67"/>
    <mergeCell ref="E67:H67"/>
    <mergeCell ref="A68:C68"/>
    <mergeCell ref="E68:H68"/>
    <mergeCell ref="A69:H69"/>
    <mergeCell ref="A76:C76"/>
    <mergeCell ref="E76:H76"/>
    <mergeCell ref="A95:H95"/>
    <mergeCell ref="A98:C98"/>
    <mergeCell ref="D98:H98"/>
    <mergeCell ref="A73:B73"/>
    <mergeCell ref="F73:H73"/>
    <mergeCell ref="A74:B74"/>
    <mergeCell ref="F74:H74"/>
    <mergeCell ref="A75:H75"/>
    <mergeCell ref="A102:C102"/>
    <mergeCell ref="E102:H102"/>
    <mergeCell ref="A103:C103"/>
    <mergeCell ref="E103:H103"/>
    <mergeCell ref="A104:C104"/>
    <mergeCell ref="E104:H104"/>
    <mergeCell ref="A99:H99"/>
    <mergeCell ref="A100:C100"/>
    <mergeCell ref="E100:H100"/>
    <mergeCell ref="A101:C101"/>
    <mergeCell ref="E101:H101"/>
    <mergeCell ref="A108:C108"/>
    <mergeCell ref="E108:H108"/>
    <mergeCell ref="A109:C109"/>
    <mergeCell ref="E109:H109"/>
    <mergeCell ref="A110:C110"/>
    <mergeCell ref="E110:H110"/>
    <mergeCell ref="A105:C105"/>
    <mergeCell ref="E105:H105"/>
    <mergeCell ref="A106:C106"/>
    <mergeCell ref="E106:H106"/>
    <mergeCell ref="A107:C107"/>
    <mergeCell ref="E107:H107"/>
    <mergeCell ref="A114:C114"/>
    <mergeCell ref="E114:H114"/>
    <mergeCell ref="A115:C115"/>
    <mergeCell ref="E115:H115"/>
    <mergeCell ref="A116:C116"/>
    <mergeCell ref="E116:H116"/>
    <mergeCell ref="A111:C111"/>
    <mergeCell ref="E111:H111"/>
    <mergeCell ref="A112:C112"/>
    <mergeCell ref="E112:H112"/>
    <mergeCell ref="A113:C113"/>
    <mergeCell ref="E113:H113"/>
    <mergeCell ref="A120:B120"/>
    <mergeCell ref="F120:H120"/>
    <mergeCell ref="A121:B121"/>
    <mergeCell ref="F121:H121"/>
    <mergeCell ref="A122:B122"/>
    <mergeCell ref="F122:H122"/>
    <mergeCell ref="A117:C117"/>
    <mergeCell ref="E117:H117"/>
    <mergeCell ref="A118:H118"/>
    <mergeCell ref="A119:C119"/>
    <mergeCell ref="F119:H119"/>
    <mergeCell ref="A144:H144"/>
    <mergeCell ref="A147:C147"/>
    <mergeCell ref="D147:H147"/>
    <mergeCell ref="A148:H148"/>
    <mergeCell ref="A149:C149"/>
    <mergeCell ref="E149:H149"/>
    <mergeCell ref="A123:B123"/>
    <mergeCell ref="F123:H123"/>
    <mergeCell ref="A124:H124"/>
    <mergeCell ref="A125:C125"/>
    <mergeCell ref="E125:H125"/>
    <mergeCell ref="A153:C153"/>
    <mergeCell ref="E153:H153"/>
    <mergeCell ref="A154:C154"/>
    <mergeCell ref="E154:H154"/>
    <mergeCell ref="A155:C155"/>
    <mergeCell ref="E155:H155"/>
    <mergeCell ref="A150:C150"/>
    <mergeCell ref="E150:H150"/>
    <mergeCell ref="A151:C151"/>
    <mergeCell ref="E151:H151"/>
    <mergeCell ref="A152:C152"/>
    <mergeCell ref="E152:H152"/>
    <mergeCell ref="A159:C159"/>
    <mergeCell ref="E159:H159"/>
    <mergeCell ref="A160:C160"/>
    <mergeCell ref="E160:H160"/>
    <mergeCell ref="A161:C161"/>
    <mergeCell ref="E161:H161"/>
    <mergeCell ref="A156:C156"/>
    <mergeCell ref="E156:H156"/>
    <mergeCell ref="A157:C157"/>
    <mergeCell ref="E157:H157"/>
    <mergeCell ref="A158:C158"/>
    <mergeCell ref="E158:H158"/>
    <mergeCell ref="A165:C165"/>
    <mergeCell ref="E165:H165"/>
    <mergeCell ref="A166:C166"/>
    <mergeCell ref="E166:H166"/>
    <mergeCell ref="A167:H167"/>
    <mergeCell ref="A162:C162"/>
    <mergeCell ref="E162:H162"/>
    <mergeCell ref="A163:C163"/>
    <mergeCell ref="E163:H163"/>
    <mergeCell ref="A164:C164"/>
    <mergeCell ref="E164:H164"/>
    <mergeCell ref="A171:B171"/>
    <mergeCell ref="F171:H171"/>
    <mergeCell ref="A172:B172"/>
    <mergeCell ref="F172:H172"/>
    <mergeCell ref="A173:H173"/>
    <mergeCell ref="A168:C168"/>
    <mergeCell ref="F168:H168"/>
    <mergeCell ref="A169:B169"/>
    <mergeCell ref="F169:H169"/>
    <mergeCell ref="A170:B170"/>
    <mergeCell ref="F170:H170"/>
    <mergeCell ref="A197:H197"/>
    <mergeCell ref="A198:C198"/>
    <mergeCell ref="E198:H198"/>
    <mergeCell ref="A199:C199"/>
    <mergeCell ref="E199:H199"/>
    <mergeCell ref="A174:C174"/>
    <mergeCell ref="E174:H174"/>
    <mergeCell ref="A193:H193"/>
    <mergeCell ref="A196:C196"/>
    <mergeCell ref="D196:H196"/>
    <mergeCell ref="A203:C203"/>
    <mergeCell ref="E203:H203"/>
    <mergeCell ref="A204:C204"/>
    <mergeCell ref="E204:H204"/>
    <mergeCell ref="A205:C205"/>
    <mergeCell ref="E205:H205"/>
    <mergeCell ref="A200:C200"/>
    <mergeCell ref="E200:H200"/>
    <mergeCell ref="A201:C201"/>
    <mergeCell ref="E201:H201"/>
    <mergeCell ref="A202:C202"/>
    <mergeCell ref="E202:H202"/>
    <mergeCell ref="A209:C209"/>
    <mergeCell ref="E209:H209"/>
    <mergeCell ref="A210:C210"/>
    <mergeCell ref="E210:H210"/>
    <mergeCell ref="A211:C211"/>
    <mergeCell ref="E211:H211"/>
    <mergeCell ref="A206:C206"/>
    <mergeCell ref="E206:H206"/>
    <mergeCell ref="A207:C207"/>
    <mergeCell ref="E207:H207"/>
    <mergeCell ref="A208:C208"/>
    <mergeCell ref="E208:H208"/>
    <mergeCell ref="A215:C215"/>
    <mergeCell ref="E215:H215"/>
    <mergeCell ref="A216:H216"/>
    <mergeCell ref="A217:C217"/>
    <mergeCell ref="F217:H217"/>
    <mergeCell ref="A212:C212"/>
    <mergeCell ref="E212:H212"/>
    <mergeCell ref="A213:C213"/>
    <mergeCell ref="E213:H213"/>
    <mergeCell ref="A214:C214"/>
    <mergeCell ref="E214:H214"/>
    <mergeCell ref="A221:B221"/>
    <mergeCell ref="F221:H221"/>
    <mergeCell ref="A222:H222"/>
    <mergeCell ref="A223:C223"/>
    <mergeCell ref="E223:H223"/>
    <mergeCell ref="A218:B218"/>
    <mergeCell ref="F218:H218"/>
    <mergeCell ref="A219:B219"/>
    <mergeCell ref="F219:H219"/>
    <mergeCell ref="A220:B220"/>
    <mergeCell ref="F220:H220"/>
  </mergeCells>
  <dataValidations count="4">
    <dataValidation type="list" showInputMessage="1" showErrorMessage="1" promptTitle="Yes or No?" sqref="D12:D16 D56:D60 D105:D109 D154:D158 D203:D207" xr:uid="{1CD7A0D3-16DB-4C3F-A9B2-7E4746C779D1}">
      <formula1>YesNo</formula1>
    </dataValidation>
    <dataValidation type="list" showInputMessage="1" showErrorMessage="1" promptTitle="Choose Area" sqref="A4 A48 A97 A146 A195" xr:uid="{98B20749-E1AC-47A5-9F27-F2ED6898A61B}">
      <formula1>CatchNo</formula1>
    </dataValidation>
    <dataValidation type="decimal" operator="greaterThan" allowBlank="1" showInputMessage="1" showErrorMessage="1" sqref="D221 D17:D24 D30 D8:D9 D61:D68 D74 D52:D53 D110:D117 D123 D159:D166 D101:D102 D172 D208:D215 D150:D151 D199:D200" xr:uid="{306378AF-64DA-412A-AC8F-D9064BBE2578}">
      <formula1>0</formula1>
    </dataValidation>
    <dataValidation type="decimal" operator="greaterThanOrEqual" allowBlank="1" showInputMessage="1" showErrorMessage="1" sqref="D10:D11 D54:D55 D103:D104 D152:D153 D201:D202" xr:uid="{7D2BA41A-301B-41A1-88D7-8739589F59CE}">
      <formula1>0</formula1>
    </dataValidation>
  </dataValidations>
  <pageMargins left="0.5" right="0.5" top="0.75" bottom="0.5" header="0.3" footer="0.3"/>
  <pageSetup paperSize="278" orientation="portrait" r:id="rId1"/>
  <headerFooter>
    <oddHeader>&amp;C&amp;"Arial,Regular"&amp;18Stormwater Filtering Practices</oddHeader>
  </headerFooter>
  <rowBreaks count="3" manualBreakCount="3">
    <brk id="93" max="16383" man="1"/>
    <brk id="142" max="16383" man="1"/>
    <brk id="191" max="16383" man="1"/>
  </rowBreaks>
  <extLst>
    <ext xmlns:x14="http://schemas.microsoft.com/office/spreadsheetml/2009/9/main" uri="{CCE6A557-97BC-4b89-ADB6-D9C93CAAB3DF}">
      <x14:dataValidations xmlns:xm="http://schemas.microsoft.com/office/excel/2006/main" count="1">
        <x14:dataValidation type="list" showInputMessage="1" showErrorMessage="1" promptTitle="Yes or No?" xr:uid="{9262E896-8CF5-4CC4-8191-715CA64D3F2B}">
          <x14:formula1>
            <xm:f>Reference!$A$66:$A$68</xm:f>
          </x14:formula1>
          <xm:sqref>D5:H5 D49:H49 D98:H98 D147:H147 D196:H196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FB35-A921-4B45-9CDD-ACC3A801FBAF}">
  <dimension ref="A1:P260"/>
  <sheetViews>
    <sheetView view="pageLayout" zoomScaleNormal="100" workbookViewId="0">
      <selection activeCell="I10" sqref="I10"/>
    </sheetView>
  </sheetViews>
  <sheetFormatPr defaultColWidth="9.1796875" defaultRowHeight="12.5" x14ac:dyDescent="0.25"/>
  <cols>
    <col min="1" max="1" width="13.1796875" style="4" customWidth="1"/>
    <col min="2" max="2" width="12.7265625" style="4" customWidth="1"/>
    <col min="3" max="3" width="11.453125" style="4" customWidth="1"/>
    <col min="4" max="4" width="10.54296875" style="4" customWidth="1"/>
    <col min="5" max="5" width="6.453125" style="4" customWidth="1"/>
    <col min="6" max="6" width="8.54296875" style="4" customWidth="1"/>
    <col min="7" max="7" width="12.26953125" style="4" customWidth="1"/>
    <col min="8" max="8" width="15.26953125" style="4" customWidth="1"/>
    <col min="9" max="9" width="14" style="4" customWidth="1"/>
    <col min="10" max="13" width="9.1796875" style="4" hidden="1" customWidth="1"/>
    <col min="14" max="14" width="12.1796875" style="4" bestFit="1" customWidth="1"/>
    <col min="15" max="16384" width="9.1796875" style="4"/>
  </cols>
  <sheetData>
    <row r="1" spans="1:16" s="34" customFormat="1" ht="13" x14ac:dyDescent="0.3">
      <c r="A1" s="24" t="s">
        <v>56</v>
      </c>
      <c r="B1" s="23" t="str">
        <f>IF('STEP 2-WQv Calculation'!$B$4="","",'STEP 2-WQv Calculation'!$B$4)</f>
        <v/>
      </c>
      <c r="C1" s="31"/>
      <c r="D1" s="31"/>
      <c r="E1" s="32"/>
      <c r="F1" s="33"/>
      <c r="G1" s="33"/>
      <c r="H1" s="33"/>
    </row>
    <row r="2" spans="1:16" ht="15" customHeight="1" x14ac:dyDescent="0.25">
      <c r="A2" s="331" t="s">
        <v>293</v>
      </c>
      <c r="B2" s="332"/>
      <c r="C2" s="332"/>
      <c r="D2" s="332"/>
      <c r="E2" s="332"/>
      <c r="F2" s="332"/>
      <c r="G2" s="332"/>
      <c r="H2" s="333"/>
      <c r="I2" s="255" t="s">
        <v>219</v>
      </c>
      <c r="J2" s="256"/>
      <c r="K2" s="256"/>
      <c r="L2" s="256"/>
      <c r="M2" s="256"/>
      <c r="N2" s="256"/>
      <c r="O2" s="49">
        <f>SUM(B4,B30,B56,B82,B108,B134,B160,B186,B212,B238)</f>
        <v>0</v>
      </c>
      <c r="P2" s="12" t="s">
        <v>223</v>
      </c>
    </row>
    <row r="3" spans="1:16" s="34" customFormat="1" ht="46.75" customHeight="1" x14ac:dyDescent="0.3">
      <c r="A3" s="204" t="s">
        <v>60</v>
      </c>
      <c r="B3" s="205" t="s">
        <v>61</v>
      </c>
      <c r="C3" s="205" t="s">
        <v>62</v>
      </c>
      <c r="D3" s="205" t="s">
        <v>63</v>
      </c>
      <c r="E3" s="205" t="s">
        <v>64</v>
      </c>
      <c r="F3" s="205" t="s">
        <v>65</v>
      </c>
      <c r="G3" s="205" t="s">
        <v>244</v>
      </c>
      <c r="H3" s="206" t="s">
        <v>13</v>
      </c>
      <c r="I3" s="255" t="s">
        <v>245</v>
      </c>
      <c r="J3" s="256"/>
      <c r="K3" s="256"/>
      <c r="L3" s="256"/>
      <c r="M3" s="256"/>
      <c r="N3" s="256"/>
      <c r="O3" s="21">
        <f>SUM(C4,C30,C56,C82,C108,C134,C160,C186,C212,C238)</f>
        <v>0</v>
      </c>
      <c r="P3" s="12" t="s">
        <v>223</v>
      </c>
    </row>
    <row r="4" spans="1:16" ht="30.2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56"/>
      <c r="L4" s="256"/>
      <c r="M4" s="256"/>
      <c r="N4" s="256"/>
      <c r="O4" s="28">
        <f>SUM(C26,C52,C78,C104,C130,C156,C182,C208,C234,C260)</f>
        <v>0</v>
      </c>
      <c r="P4" s="12" t="s">
        <v>2</v>
      </c>
    </row>
    <row r="5" spans="1:16" ht="15" customHeight="1" x14ac:dyDescent="0.25">
      <c r="A5" s="236" t="s">
        <v>226</v>
      </c>
      <c r="B5" s="237"/>
      <c r="C5" s="237"/>
      <c r="D5" s="237"/>
      <c r="E5" s="237"/>
      <c r="F5" s="237"/>
      <c r="G5" s="237"/>
      <c r="H5" s="238"/>
      <c r="I5" s="413" t="s">
        <v>447</v>
      </c>
      <c r="J5" s="414"/>
      <c r="K5" s="414"/>
      <c r="L5" s="414"/>
      <c r="M5" s="414"/>
      <c r="N5" s="414"/>
      <c r="O5" s="28">
        <v>0</v>
      </c>
      <c r="P5" s="12" t="s">
        <v>2</v>
      </c>
    </row>
    <row r="6" spans="1:16" s="1" customFormat="1" ht="30" customHeight="1" x14ac:dyDescent="0.35">
      <c r="A6" s="242" t="s">
        <v>295</v>
      </c>
      <c r="B6" s="243"/>
      <c r="C6" s="244"/>
      <c r="D6" s="44"/>
      <c r="E6" s="322" t="str">
        <f>IF(D6="","",IF(D6&lt;0.5,"Does not meet design criteria",""))</f>
        <v/>
      </c>
      <c r="F6" s="323"/>
      <c r="G6" s="323"/>
      <c r="H6" s="324"/>
      <c r="I6" s="4"/>
    </row>
    <row r="7" spans="1:16" s="1" customFormat="1" ht="26.5" customHeight="1" x14ac:dyDescent="0.35">
      <c r="A7" s="242" t="s">
        <v>717</v>
      </c>
      <c r="B7" s="243"/>
      <c r="C7" s="244"/>
      <c r="D7" s="211"/>
      <c r="E7" s="322" t="str">
        <f>IF(D7="Yes","Two treatment practices in series required. Refer to Section 6.3.1","")</f>
        <v/>
      </c>
      <c r="F7" s="323"/>
      <c r="G7" s="323"/>
      <c r="H7" s="324"/>
      <c r="I7" s="4"/>
    </row>
    <row r="8" spans="1:16" s="1" customFormat="1" ht="26.5" customHeight="1" x14ac:dyDescent="0.35">
      <c r="A8" s="242" t="s">
        <v>718</v>
      </c>
      <c r="B8" s="243"/>
      <c r="C8" s="244"/>
      <c r="D8" s="211"/>
      <c r="E8" s="322" t="str">
        <f>IF(D8="","See Section 4.14 of the Design Manual",IF(D8="Yes","Does not meet feasibility criteria",""))</f>
        <v>See Section 4.14 of the Design Manual</v>
      </c>
      <c r="F8" s="323"/>
      <c r="G8" s="323"/>
      <c r="H8" s="324"/>
      <c r="I8" s="4"/>
    </row>
    <row r="9" spans="1:16" s="1" customFormat="1" ht="26.25" customHeight="1" x14ac:dyDescent="0.35">
      <c r="A9" s="242" t="s">
        <v>494</v>
      </c>
      <c r="B9" s="243"/>
      <c r="C9" s="244"/>
      <c r="D9" s="158" t="str">
        <f>IF(B4="","",IF(B4&gt;5,"Yes","No"))</f>
        <v/>
      </c>
      <c r="E9" s="322" t="str">
        <f>IF(D9&gt;"Yes","Does not meet design criteria","")</f>
        <v/>
      </c>
      <c r="F9" s="323"/>
      <c r="G9" s="323"/>
      <c r="H9" s="324"/>
      <c r="I9" s="4"/>
    </row>
    <row r="10" spans="1:16" s="1" customFormat="1" ht="28.5" customHeight="1" x14ac:dyDescent="0.35">
      <c r="A10" s="242" t="s">
        <v>713</v>
      </c>
      <c r="B10" s="243"/>
      <c r="C10" s="244"/>
      <c r="D10" s="43"/>
      <c r="E10" s="322" t="str">
        <f>IF(D10="","",IF(D10&lt;2,"Does not  meet design criteria",""))</f>
        <v/>
      </c>
      <c r="F10" s="323"/>
      <c r="G10" s="323"/>
      <c r="H10" s="324"/>
      <c r="I10" s="4"/>
    </row>
    <row r="11" spans="1:16" s="1" customFormat="1" ht="13.9" customHeight="1" x14ac:dyDescent="0.35">
      <c r="A11" s="242" t="s">
        <v>297</v>
      </c>
      <c r="B11" s="243"/>
      <c r="C11" s="244"/>
      <c r="D11" s="43"/>
      <c r="E11" s="322" t="str">
        <f>IF(D11="","",IF(D11&lt;2,"Does not meet design criteria",""))</f>
        <v/>
      </c>
      <c r="F11" s="323"/>
      <c r="G11" s="323"/>
      <c r="H11" s="324"/>
      <c r="I11" s="4"/>
    </row>
    <row r="12" spans="1:16" s="1" customFormat="1" ht="27" customHeight="1" x14ac:dyDescent="0.35">
      <c r="A12" s="242" t="s">
        <v>710</v>
      </c>
      <c r="B12" s="243"/>
      <c r="C12" s="244"/>
      <c r="D12" s="211"/>
      <c r="E12" s="322" t="str">
        <f>IF(D12="No","Does not meet design criteria","")</f>
        <v/>
      </c>
      <c r="F12" s="323"/>
      <c r="G12" s="323"/>
      <c r="H12" s="324"/>
      <c r="I12" s="4"/>
    </row>
    <row r="13" spans="1:16" s="1" customFormat="1" ht="13.9" customHeight="1" x14ac:dyDescent="0.35">
      <c r="A13" s="242" t="s">
        <v>559</v>
      </c>
      <c r="B13" s="243"/>
      <c r="C13" s="244"/>
      <c r="D13" s="43"/>
      <c r="E13" s="322" t="str">
        <f>IF(D13="","",IF(D13&gt;0.5,"Does not meet design criteria",""))</f>
        <v/>
      </c>
      <c r="F13" s="323"/>
      <c r="G13" s="323"/>
      <c r="H13" s="324"/>
      <c r="I13" s="4"/>
    </row>
    <row r="14" spans="1:16" s="1" customFormat="1" ht="13.9" customHeight="1" x14ac:dyDescent="0.35">
      <c r="A14" s="242" t="s">
        <v>378</v>
      </c>
      <c r="B14" s="243"/>
      <c r="C14" s="244"/>
      <c r="D14" s="43"/>
      <c r="E14" s="322" t="str">
        <f>IF(D14="","",IF(D14&lt;3,"Does not meet design criteria",""))</f>
        <v/>
      </c>
      <c r="F14" s="323"/>
      <c r="G14" s="323"/>
      <c r="H14" s="324"/>
      <c r="I14" s="4"/>
    </row>
    <row r="15" spans="1:16" s="1" customFormat="1" ht="13.9" customHeight="1" x14ac:dyDescent="0.35">
      <c r="A15" s="242" t="s">
        <v>558</v>
      </c>
      <c r="B15" s="243"/>
      <c r="C15" s="244"/>
      <c r="D15" s="43"/>
      <c r="E15" s="322" t="str">
        <f>IF(D15="","",IF(D15&gt;4,"Does not meet design criteria",IF(D15&lt;2.5,"Does not meet design criteria","")))</f>
        <v/>
      </c>
      <c r="F15" s="323"/>
      <c r="G15" s="323"/>
      <c r="H15" s="324"/>
      <c r="I15" s="4"/>
    </row>
    <row r="16" spans="1:16" s="1" customFormat="1" ht="13.9" customHeight="1" x14ac:dyDescent="0.35">
      <c r="A16" s="242" t="s">
        <v>402</v>
      </c>
      <c r="B16" s="243"/>
      <c r="C16" s="244"/>
      <c r="D16" s="43"/>
      <c r="E16" s="322" t="str">
        <f>IF(D16="","",IF(D16&lt;6,"Does not meet design criteria",""))</f>
        <v/>
      </c>
      <c r="F16" s="323"/>
      <c r="G16" s="323"/>
      <c r="H16" s="324"/>
      <c r="I16" s="4"/>
    </row>
    <row r="17" spans="1:16" s="1" customFormat="1" ht="13.9" customHeight="1" x14ac:dyDescent="0.35">
      <c r="A17" s="242" t="s">
        <v>520</v>
      </c>
      <c r="B17" s="243"/>
      <c r="C17" s="244"/>
      <c r="D17" s="43"/>
      <c r="E17" s="322" t="str">
        <f>IF(D17&gt;15,"Does not meet design criteria","")</f>
        <v/>
      </c>
      <c r="F17" s="323"/>
      <c r="G17" s="323"/>
      <c r="H17" s="324"/>
      <c r="I17" s="4"/>
    </row>
    <row r="18" spans="1:16" s="1" customFormat="1" ht="13.9" customHeight="1" x14ac:dyDescent="0.35">
      <c r="A18" s="242" t="s">
        <v>521</v>
      </c>
      <c r="B18" s="243"/>
      <c r="C18" s="244"/>
      <c r="D18" s="43"/>
      <c r="E18" s="322" t="str">
        <f>IF(D18="","",IF(D18&lt;12,"Does not meet design criteria",""))</f>
        <v/>
      </c>
      <c r="F18" s="323"/>
      <c r="G18" s="323"/>
      <c r="H18" s="324"/>
      <c r="I18" s="4"/>
    </row>
    <row r="19" spans="1:16" ht="15" customHeight="1" x14ac:dyDescent="0.25">
      <c r="A19" s="236" t="s">
        <v>232</v>
      </c>
      <c r="B19" s="237"/>
      <c r="C19" s="237"/>
      <c r="D19" s="237"/>
      <c r="E19" s="237"/>
      <c r="F19" s="237"/>
      <c r="G19" s="237"/>
      <c r="H19" s="238"/>
    </row>
    <row r="20" spans="1:16" s="34" customFormat="1" ht="15" customHeight="1" x14ac:dyDescent="0.3">
      <c r="A20" s="35"/>
      <c r="B20" s="36"/>
      <c r="C20" s="36"/>
      <c r="D20" s="37"/>
      <c r="E20" s="302" t="s">
        <v>256</v>
      </c>
      <c r="F20" s="302"/>
      <c r="G20" s="38" t="s">
        <v>257</v>
      </c>
      <c r="H20" s="38" t="s">
        <v>258</v>
      </c>
      <c r="I20" s="4"/>
      <c r="J20" s="4"/>
      <c r="K20" s="4"/>
      <c r="L20" s="4"/>
      <c r="M20" s="4"/>
      <c r="N20" s="4"/>
      <c r="O20" s="4"/>
      <c r="P20" s="4"/>
    </row>
    <row r="21" spans="1:16" ht="15" customHeight="1" x14ac:dyDescent="0.25">
      <c r="A21" s="266" t="s">
        <v>306</v>
      </c>
      <c r="B21" s="267"/>
      <c r="C21" s="268"/>
      <c r="D21" s="198" t="s">
        <v>307</v>
      </c>
      <c r="E21" s="289">
        <v>1</v>
      </c>
      <c r="F21" s="289"/>
      <c r="G21" s="193" t="s">
        <v>308</v>
      </c>
      <c r="H21" s="219" t="str">
        <f>IF(E21&gt;1,"Sizing as Filter","")</f>
        <v/>
      </c>
    </row>
    <row r="22" spans="1:16" ht="15" customHeight="1" x14ac:dyDescent="0.25">
      <c r="A22" s="289" t="s">
        <v>388</v>
      </c>
      <c r="B22" s="289"/>
      <c r="C22" s="289"/>
      <c r="D22" s="198" t="s">
        <v>312</v>
      </c>
      <c r="E22" s="289">
        <v>2</v>
      </c>
      <c r="F22" s="289"/>
      <c r="G22" s="193" t="s">
        <v>313</v>
      </c>
      <c r="H22" s="192"/>
    </row>
    <row r="23" spans="1:16" ht="15" customHeight="1" x14ac:dyDescent="0.25">
      <c r="A23" s="266" t="s">
        <v>381</v>
      </c>
      <c r="B23" s="267"/>
      <c r="C23" s="268"/>
      <c r="D23" s="198" t="s">
        <v>315</v>
      </c>
      <c r="E23" s="308" t="e">
        <f>ROUNDUP((F4*D15)/(E21*(D13+D15)*E22),0)</f>
        <v>#VALUE!</v>
      </c>
      <c r="F23" s="308"/>
      <c r="G23" s="193" t="s">
        <v>316</v>
      </c>
      <c r="H23" s="192"/>
    </row>
    <row r="24" spans="1:16" ht="30" customHeight="1" x14ac:dyDescent="0.25">
      <c r="A24" s="266" t="s">
        <v>382</v>
      </c>
      <c r="B24" s="267"/>
      <c r="C24" s="268"/>
      <c r="D24" s="198" t="s">
        <v>315</v>
      </c>
      <c r="E24" s="336"/>
      <c r="F24" s="336"/>
      <c r="G24" s="193" t="s">
        <v>316</v>
      </c>
      <c r="H24" s="219" t="str">
        <f>IF(E24="","",IF(E24&lt;E23,"Does not meet sizing criteria",""))</f>
        <v/>
      </c>
    </row>
    <row r="25" spans="1:16" ht="15" customHeight="1" x14ac:dyDescent="0.25">
      <c r="A25" s="236" t="s">
        <v>276</v>
      </c>
      <c r="B25" s="237"/>
      <c r="C25" s="237"/>
      <c r="D25" s="237"/>
      <c r="E25" s="237"/>
      <c r="F25" s="237"/>
      <c r="G25" s="237"/>
      <c r="H25" s="238"/>
    </row>
    <row r="26" spans="1:16" s="34" customFormat="1" ht="30.25" customHeight="1" x14ac:dyDescent="0.3">
      <c r="A26" s="335" t="s">
        <v>241</v>
      </c>
      <c r="B26" s="335"/>
      <c r="C26" s="9" t="str">
        <f>IF(A4="","",IF(D8="Yes",0,IF(D6&lt;0.5,0,IF(D9="Yes",0,IF(D10&lt;2,0,IF(D11&lt;2,0,IF(D12="No",0,IF(D13&gt;0.5,0,IF(D14&lt;3,0,IF(D15&lt;2.5,0,IF(D15&gt;4,0,IF(D16&lt;6,0,IF(D17&gt;15,0,IF(D18&lt;12,0,IF(E24&lt;E23,0,F4*1)))))))))))))))</f>
        <v/>
      </c>
      <c r="D26" s="339" t="s">
        <v>2</v>
      </c>
      <c r="E26" s="340"/>
      <c r="F26" s="340"/>
      <c r="G26" s="340"/>
      <c r="H26" s="341"/>
      <c r="I26" s="4"/>
      <c r="J26" s="4"/>
      <c r="K26" s="4"/>
      <c r="L26" s="4"/>
      <c r="M26" s="4"/>
      <c r="N26" s="4"/>
      <c r="O26" s="4"/>
      <c r="P26" s="4"/>
    </row>
    <row r="27" spans="1:16" ht="13" x14ac:dyDescent="0.3">
      <c r="A27" s="24" t="s">
        <v>56</v>
      </c>
      <c r="B27" s="23" t="str">
        <f>IF('STEP 2-WQv Calculation'!$B$4="","",'STEP 2-WQv Calculation'!$B$4)</f>
        <v/>
      </c>
      <c r="C27" s="31"/>
      <c r="D27" s="31"/>
      <c r="E27" s="32"/>
      <c r="F27" s="33"/>
      <c r="G27" s="33"/>
      <c r="H27" s="33"/>
    </row>
    <row r="28" spans="1:16" ht="15" customHeight="1" x14ac:dyDescent="0.25">
      <c r="A28" s="331" t="s">
        <v>293</v>
      </c>
      <c r="B28" s="332"/>
      <c r="C28" s="332"/>
      <c r="D28" s="332"/>
      <c r="E28" s="332"/>
      <c r="F28" s="332"/>
      <c r="G28" s="332"/>
      <c r="H28" s="333"/>
    </row>
    <row r="29" spans="1:16" ht="38.5" x14ac:dyDescent="0.25">
      <c r="A29" s="204" t="s">
        <v>60</v>
      </c>
      <c r="B29" s="205" t="s">
        <v>61</v>
      </c>
      <c r="C29" s="205" t="s">
        <v>62</v>
      </c>
      <c r="D29" s="205" t="s">
        <v>63</v>
      </c>
      <c r="E29" s="205" t="s">
        <v>64</v>
      </c>
      <c r="F29" s="205" t="s">
        <v>65</v>
      </c>
      <c r="G29" s="205" t="s">
        <v>244</v>
      </c>
      <c r="H29" s="206" t="s">
        <v>13</v>
      </c>
    </row>
    <row r="30" spans="1:16" x14ac:dyDescent="0.25">
      <c r="A30" s="17"/>
      <c r="B30" s="18" t="str">
        <f>IF($A30="","",(LOOKUP($A30,'STEP 2-WQv Calculation'!$A$8:$A$37,'STEP 2-WQv Calculation'!$B$8:$B$37)))</f>
        <v/>
      </c>
      <c r="C30" s="18" t="str">
        <f>IF($A30="","",(LOOKUP($A30,'STEP 2-WQv Calculation'!$A$8:$A$37,'STEP 2-WQv Calculation'!$C$8:$C$37)))</f>
        <v/>
      </c>
      <c r="D30" s="53" t="str">
        <f>IF($A30="","",(LOOKUP($A30,'STEP 2-WQv Calculation'!$A$8:$A$37,'STEP 2-WQv Calculation'!$D$8:$D$37)))</f>
        <v/>
      </c>
      <c r="E30" s="18" t="str">
        <f>IF($A30="","",(LOOKUP($A30,'STEP 2-WQv Calculation'!$A$8:$A$37,'STEP 2-WQv Calculation'!$E$8:$E$37)))</f>
        <v/>
      </c>
      <c r="F30" s="42" t="str">
        <f>IF($A30="","",(LOOKUP($A30,'STEP 2-WQv Calculation'!$A$8:$A$37,'STEP 2-WQv Calculation'!$F$8:$F$37)))</f>
        <v/>
      </c>
      <c r="G30" s="18">
        <f>'STEP 2-WQv Calculation'!$B$5</f>
        <v>0</v>
      </c>
      <c r="H30" s="29" t="str">
        <f>IF($A30="","",(LOOKUP($A30,'STEP 2-WQv Calculation'!$A$8:$A$37,'STEP 2-WQv Calculation'!$G$8:$G$37)))</f>
        <v/>
      </c>
    </row>
    <row r="31" spans="1:16" ht="15" customHeight="1" x14ac:dyDescent="0.25">
      <c r="A31" s="236" t="s">
        <v>226</v>
      </c>
      <c r="B31" s="237"/>
      <c r="C31" s="237"/>
      <c r="D31" s="237"/>
      <c r="E31" s="237"/>
      <c r="F31" s="237"/>
      <c r="G31" s="237"/>
      <c r="H31" s="238"/>
    </row>
    <row r="32" spans="1:16" ht="29.5" customHeight="1" x14ac:dyDescent="0.25">
      <c r="A32" s="242" t="s">
        <v>295</v>
      </c>
      <c r="B32" s="243"/>
      <c r="C32" s="244"/>
      <c r="D32" s="44"/>
      <c r="E32" s="322" t="str">
        <f>IF(D32="","",IF(D32&lt;0.5,"Does not meet design criteria",""))</f>
        <v/>
      </c>
      <c r="F32" s="323"/>
      <c r="G32" s="323"/>
      <c r="H32" s="324"/>
    </row>
    <row r="33" spans="1:9" ht="29.5" customHeight="1" x14ac:dyDescent="0.25">
      <c r="A33" s="242" t="s">
        <v>717</v>
      </c>
      <c r="B33" s="243"/>
      <c r="C33" s="244"/>
      <c r="D33" s="211"/>
      <c r="E33" s="322" t="str">
        <f>IF(D33="Yes","Two treatment practices in series required. Refer to Section 6.3.1","")</f>
        <v/>
      </c>
      <c r="F33" s="323"/>
      <c r="G33" s="323"/>
      <c r="H33" s="324"/>
    </row>
    <row r="34" spans="1:9" s="1" customFormat="1" ht="26.5" customHeight="1" x14ac:dyDescent="0.35">
      <c r="A34" s="242" t="s">
        <v>718</v>
      </c>
      <c r="B34" s="243"/>
      <c r="C34" s="244"/>
      <c r="D34" s="211"/>
      <c r="E34" s="322" t="str">
        <f>IF(D34="","See Section 4.14 of the Design Manual",IF(D34="Yes","Does not meet feasibility criteria",""))</f>
        <v>See Section 4.14 of the Design Manual</v>
      </c>
      <c r="F34" s="323"/>
      <c r="G34" s="323"/>
      <c r="H34" s="324"/>
      <c r="I34" s="4"/>
    </row>
    <row r="35" spans="1:9" ht="27.75" customHeight="1" x14ac:dyDescent="0.25">
      <c r="A35" s="242" t="s">
        <v>494</v>
      </c>
      <c r="B35" s="243"/>
      <c r="C35" s="244"/>
      <c r="D35" s="158" t="str">
        <f>IF(B30="","",IF(B30&gt;5,"Yes","No"))</f>
        <v/>
      </c>
      <c r="E35" s="322" t="str">
        <f>IF(D35&gt;"Yes","Does not meet design criteria","")</f>
        <v/>
      </c>
      <c r="F35" s="323"/>
      <c r="G35" s="323"/>
      <c r="H35" s="324"/>
    </row>
    <row r="36" spans="1:9" ht="29.25" customHeight="1" x14ac:dyDescent="0.25">
      <c r="A36" s="242" t="s">
        <v>713</v>
      </c>
      <c r="B36" s="243"/>
      <c r="C36" s="244"/>
      <c r="D36" s="43"/>
      <c r="E36" s="322" t="str">
        <f>IF(D36="","",IF(D36&lt;2,"Does not  meet design criteria",""))</f>
        <v/>
      </c>
      <c r="F36" s="323"/>
      <c r="G36" s="323"/>
      <c r="H36" s="324"/>
    </row>
    <row r="37" spans="1:9" ht="15" customHeight="1" x14ac:dyDescent="0.25">
      <c r="A37" s="242" t="s">
        <v>297</v>
      </c>
      <c r="B37" s="243"/>
      <c r="C37" s="244"/>
      <c r="D37" s="43"/>
      <c r="E37" s="322" t="str">
        <f>IF(D37="","",IF(D37&lt;2,"Does not meet design criteria",""))</f>
        <v/>
      </c>
      <c r="F37" s="323"/>
      <c r="G37" s="323"/>
      <c r="H37" s="324"/>
    </row>
    <row r="38" spans="1:9" ht="29.5" customHeight="1" x14ac:dyDescent="0.25">
      <c r="A38" s="242" t="s">
        <v>710</v>
      </c>
      <c r="B38" s="243"/>
      <c r="C38" s="244"/>
      <c r="D38" s="211"/>
      <c r="E38" s="322" t="str">
        <f>IF(D38="No","Does not meet design criteria","")</f>
        <v/>
      </c>
      <c r="F38" s="323"/>
      <c r="G38" s="323"/>
      <c r="H38" s="324"/>
    </row>
    <row r="39" spans="1:9" ht="12.75" customHeight="1" x14ac:dyDescent="0.25">
      <c r="A39" s="242" t="s">
        <v>559</v>
      </c>
      <c r="B39" s="243"/>
      <c r="C39" s="244"/>
      <c r="D39" s="43"/>
      <c r="E39" s="322" t="str">
        <f>IF(D39="","",IF(D39&gt;0.5,"Does not meet design criteria",""))</f>
        <v/>
      </c>
      <c r="F39" s="323"/>
      <c r="G39" s="323"/>
      <c r="H39" s="324"/>
    </row>
    <row r="40" spans="1:9" x14ac:dyDescent="0.25">
      <c r="A40" s="242" t="s">
        <v>378</v>
      </c>
      <c r="B40" s="243"/>
      <c r="C40" s="244"/>
      <c r="D40" s="43"/>
      <c r="E40" s="322" t="str">
        <f>IF(D40="","",IF(D40&lt;3,"Does not meet design criteria",""))</f>
        <v/>
      </c>
      <c r="F40" s="323"/>
      <c r="G40" s="323"/>
      <c r="H40" s="324"/>
    </row>
    <row r="41" spans="1:9" x14ac:dyDescent="0.25">
      <c r="A41" s="242" t="s">
        <v>558</v>
      </c>
      <c r="B41" s="243"/>
      <c r="C41" s="244"/>
      <c r="D41" s="43"/>
      <c r="E41" s="322" t="str">
        <f>IF(D41="","",IF(D41&gt;4,"Does not meet design criteria",IF(D41&lt;2.5,"Does not meet design criteria","")))</f>
        <v/>
      </c>
      <c r="F41" s="323"/>
      <c r="G41" s="323"/>
      <c r="H41" s="324"/>
    </row>
    <row r="42" spans="1:9" ht="15" customHeight="1" x14ac:dyDescent="0.25">
      <c r="A42" s="242" t="s">
        <v>402</v>
      </c>
      <c r="B42" s="243"/>
      <c r="C42" s="244"/>
      <c r="D42" s="43"/>
      <c r="E42" s="322" t="str">
        <f>IF(D42="","",IF(D42&lt;6,"Does not meet design criteria",""))</f>
        <v/>
      </c>
      <c r="F42" s="323"/>
      <c r="G42" s="323"/>
      <c r="H42" s="324"/>
    </row>
    <row r="43" spans="1:9" ht="15" customHeight="1" x14ac:dyDescent="0.25">
      <c r="A43" s="242" t="s">
        <v>520</v>
      </c>
      <c r="B43" s="243"/>
      <c r="C43" s="244"/>
      <c r="D43" s="43"/>
      <c r="E43" s="322" t="str">
        <f>IF(D43&gt;15,"Does not meet design criteria","")</f>
        <v/>
      </c>
      <c r="F43" s="323"/>
      <c r="G43" s="323"/>
      <c r="H43" s="324"/>
    </row>
    <row r="44" spans="1:9" ht="15" customHeight="1" x14ac:dyDescent="0.25">
      <c r="A44" s="242" t="s">
        <v>521</v>
      </c>
      <c r="B44" s="243"/>
      <c r="C44" s="244"/>
      <c r="D44" s="43"/>
      <c r="E44" s="322" t="str">
        <f>IF(D44="","",IF(D44&lt;12,"Does not meet design criteria",""))</f>
        <v/>
      </c>
      <c r="F44" s="323"/>
      <c r="G44" s="323"/>
      <c r="H44" s="324"/>
    </row>
    <row r="45" spans="1:9" ht="15" customHeight="1" x14ac:dyDescent="0.25">
      <c r="A45" s="236" t="s">
        <v>232</v>
      </c>
      <c r="B45" s="237"/>
      <c r="C45" s="237"/>
      <c r="D45" s="237"/>
      <c r="E45" s="237"/>
      <c r="F45" s="237"/>
      <c r="G45" s="237"/>
      <c r="H45" s="238"/>
    </row>
    <row r="46" spans="1:9" ht="15" customHeight="1" x14ac:dyDescent="0.25">
      <c r="A46" s="35"/>
      <c r="B46" s="36"/>
      <c r="C46" s="36"/>
      <c r="D46" s="37"/>
      <c r="E46" s="302" t="s">
        <v>256</v>
      </c>
      <c r="F46" s="302"/>
      <c r="G46" s="38" t="s">
        <v>257</v>
      </c>
      <c r="H46" s="38" t="s">
        <v>258</v>
      </c>
    </row>
    <row r="47" spans="1:9" ht="15" customHeight="1" x14ac:dyDescent="0.25">
      <c r="A47" s="266" t="s">
        <v>306</v>
      </c>
      <c r="B47" s="267"/>
      <c r="C47" s="268"/>
      <c r="D47" s="198" t="s">
        <v>307</v>
      </c>
      <c r="E47" s="289">
        <v>1</v>
      </c>
      <c r="F47" s="289"/>
      <c r="G47" s="193" t="s">
        <v>308</v>
      </c>
      <c r="H47" s="219" t="str">
        <f>IF(E47&gt;1,"Sizing as Filter","")</f>
        <v/>
      </c>
    </row>
    <row r="48" spans="1:9" ht="15" customHeight="1" x14ac:dyDescent="0.25">
      <c r="A48" s="289" t="s">
        <v>388</v>
      </c>
      <c r="B48" s="289"/>
      <c r="C48" s="289"/>
      <c r="D48" s="198" t="s">
        <v>312</v>
      </c>
      <c r="E48" s="289">
        <v>2</v>
      </c>
      <c r="F48" s="289"/>
      <c r="G48" s="193" t="s">
        <v>313</v>
      </c>
      <c r="H48" s="192"/>
    </row>
    <row r="49" spans="1:9" ht="15" customHeight="1" x14ac:dyDescent="0.25">
      <c r="A49" s="266" t="s">
        <v>381</v>
      </c>
      <c r="B49" s="267"/>
      <c r="C49" s="268"/>
      <c r="D49" s="198" t="s">
        <v>315</v>
      </c>
      <c r="E49" s="308" t="e">
        <f>ROUNDUP((F30*D41)/(E47*(D39+D41)*E48),0)</f>
        <v>#VALUE!</v>
      </c>
      <c r="F49" s="308"/>
      <c r="G49" s="193" t="s">
        <v>316</v>
      </c>
      <c r="H49" s="192"/>
    </row>
    <row r="50" spans="1:9" ht="15" customHeight="1" x14ac:dyDescent="0.25">
      <c r="A50" s="266" t="s">
        <v>382</v>
      </c>
      <c r="B50" s="267"/>
      <c r="C50" s="268"/>
      <c r="D50" s="198" t="s">
        <v>315</v>
      </c>
      <c r="E50" s="336"/>
      <c r="F50" s="336"/>
      <c r="G50" s="193" t="s">
        <v>316</v>
      </c>
      <c r="H50" s="219" t="str">
        <f>IF(E50="","",IF(E50&lt;E49,"Does not meet sizing criteria",""))</f>
        <v/>
      </c>
    </row>
    <row r="51" spans="1:9" ht="15" customHeight="1" x14ac:dyDescent="0.25">
      <c r="A51" s="236" t="s">
        <v>276</v>
      </c>
      <c r="B51" s="237"/>
      <c r="C51" s="237"/>
      <c r="D51" s="237"/>
      <c r="E51" s="237"/>
      <c r="F51" s="237"/>
      <c r="G51" s="237"/>
      <c r="H51" s="238"/>
    </row>
    <row r="52" spans="1:9" ht="15" customHeight="1" x14ac:dyDescent="0.25">
      <c r="A52" s="335" t="s">
        <v>241</v>
      </c>
      <c r="B52" s="335"/>
      <c r="C52" s="9" t="str">
        <f>IF(A30="","",IF(D34="Yes",0,IF(D32&lt;0.5,0,IF(D35="Yes",0,IF(D36&lt;2,0,IF(D37&lt;2,0,IF(D38="No",0,IF(D39&gt;0.5,0,IF(D40&lt;3,0,IF(D41&lt;2.5,0,IF(D41&gt;4,0,IF(D42&lt;6,0,IF(D43&gt;15,0,IF(D44&lt;12,0,IF(E50&lt;E49,0,F30*1)))))))))))))))</f>
        <v/>
      </c>
      <c r="D52" s="339" t="s">
        <v>2</v>
      </c>
      <c r="E52" s="340"/>
      <c r="F52" s="340"/>
      <c r="G52" s="340"/>
      <c r="H52" s="341"/>
    </row>
    <row r="53" spans="1:9" ht="13" x14ac:dyDescent="0.3">
      <c r="A53" s="24" t="s">
        <v>56</v>
      </c>
      <c r="B53" s="23" t="str">
        <f>IF('STEP 2-WQv Calculation'!$B$4="","",'STEP 2-WQv Calculation'!$B$4)</f>
        <v/>
      </c>
      <c r="C53" s="31"/>
      <c r="D53" s="31"/>
      <c r="E53" s="32"/>
      <c r="F53" s="33"/>
      <c r="G53" s="33"/>
      <c r="H53" s="33"/>
    </row>
    <row r="54" spans="1:9" ht="13" x14ac:dyDescent="0.25">
      <c r="A54" s="331" t="s">
        <v>293</v>
      </c>
      <c r="B54" s="332"/>
      <c r="C54" s="332"/>
      <c r="D54" s="332"/>
      <c r="E54" s="332"/>
      <c r="F54" s="332"/>
      <c r="G54" s="332"/>
      <c r="H54" s="333"/>
    </row>
    <row r="55" spans="1:9" ht="38.5" x14ac:dyDescent="0.25">
      <c r="A55" s="204" t="s">
        <v>60</v>
      </c>
      <c r="B55" s="205" t="s">
        <v>61</v>
      </c>
      <c r="C55" s="205" t="s">
        <v>62</v>
      </c>
      <c r="D55" s="205" t="s">
        <v>63</v>
      </c>
      <c r="E55" s="205" t="s">
        <v>64</v>
      </c>
      <c r="F55" s="205" t="s">
        <v>65</v>
      </c>
      <c r="G55" s="205" t="s">
        <v>244</v>
      </c>
      <c r="H55" s="206" t="s">
        <v>13</v>
      </c>
    </row>
    <row r="56" spans="1:9" x14ac:dyDescent="0.25">
      <c r="A56" s="17"/>
      <c r="B56" s="18" t="str">
        <f>IF($A56="","",(LOOKUP($A56,'STEP 2-WQv Calculation'!$A$8:$A$37,'STEP 2-WQv Calculation'!$B$8:$B$37)))</f>
        <v/>
      </c>
      <c r="C56" s="18" t="str">
        <f>IF($A56="","",(LOOKUP($A56,'STEP 2-WQv Calculation'!$A$8:$A$37,'STEP 2-WQv Calculation'!$C$8:$C$37)))</f>
        <v/>
      </c>
      <c r="D56" s="53" t="str">
        <f>IF($A56="","",(LOOKUP($A56,'STEP 2-WQv Calculation'!$A$8:$A$37,'STEP 2-WQv Calculation'!$D$8:$D$37)))</f>
        <v/>
      </c>
      <c r="E56" s="18" t="str">
        <f>IF($A56="","",(LOOKUP($A56,'STEP 2-WQv Calculation'!$A$8:$A$37,'STEP 2-WQv Calculation'!$E$8:$E$37)))</f>
        <v/>
      </c>
      <c r="F56" s="42" t="str">
        <f>IF($A56="","",(LOOKUP($A56,'STEP 2-WQv Calculation'!$A$8:$A$37,'STEP 2-WQv Calculation'!$F$8:$F$37)))</f>
        <v/>
      </c>
      <c r="G56" s="18">
        <f>'STEP 2-WQv Calculation'!$B$5</f>
        <v>0</v>
      </c>
      <c r="H56" s="29" t="str">
        <f>IF($A56="","",(LOOKUP($A56,'STEP 2-WQv Calculation'!$A$8:$A$37,'STEP 2-WQv Calculation'!$G$8:$G$37)))</f>
        <v/>
      </c>
    </row>
    <row r="57" spans="1:9" ht="15" customHeight="1" x14ac:dyDescent="0.25">
      <c r="A57" s="236" t="s">
        <v>226</v>
      </c>
      <c r="B57" s="237"/>
      <c r="C57" s="237"/>
      <c r="D57" s="237"/>
      <c r="E57" s="237"/>
      <c r="F57" s="237"/>
      <c r="G57" s="237"/>
      <c r="H57" s="238"/>
    </row>
    <row r="58" spans="1:9" ht="28.9" customHeight="1" x14ac:dyDescent="0.25">
      <c r="A58" s="242" t="s">
        <v>295</v>
      </c>
      <c r="B58" s="243"/>
      <c r="C58" s="244"/>
      <c r="D58" s="44"/>
      <c r="E58" s="322" t="str">
        <f>IF(D58="","",IF(D58&lt;0.5,"Does not meet design criteria",""))</f>
        <v/>
      </c>
      <c r="F58" s="323"/>
      <c r="G58" s="323"/>
      <c r="H58" s="324"/>
    </row>
    <row r="59" spans="1:9" ht="28.9" customHeight="1" x14ac:dyDescent="0.25">
      <c r="A59" s="242" t="s">
        <v>717</v>
      </c>
      <c r="B59" s="243"/>
      <c r="C59" s="244"/>
      <c r="D59" s="211"/>
      <c r="E59" s="322" t="str">
        <f>IF(D59="Yes","Two treatment practices in series required. Refer to Section 6.3.1","")</f>
        <v/>
      </c>
      <c r="F59" s="323"/>
      <c r="G59" s="323"/>
      <c r="H59" s="324"/>
    </row>
    <row r="60" spans="1:9" s="1" customFormat="1" ht="26.5" customHeight="1" x14ac:dyDescent="0.35">
      <c r="A60" s="242" t="s">
        <v>718</v>
      </c>
      <c r="B60" s="243"/>
      <c r="C60" s="244"/>
      <c r="D60" s="211"/>
      <c r="E60" s="322" t="str">
        <f>IF(D60="","See Section 4.14 of the Design Manual",IF(D60="Yes","Does not meet feasibility criteria",""))</f>
        <v>See Section 4.14 of the Design Manual</v>
      </c>
      <c r="F60" s="323"/>
      <c r="G60" s="323"/>
      <c r="H60" s="324"/>
      <c r="I60" s="4"/>
    </row>
    <row r="61" spans="1:9" ht="27" customHeight="1" x14ac:dyDescent="0.25">
      <c r="A61" s="242" t="s">
        <v>494</v>
      </c>
      <c r="B61" s="243"/>
      <c r="C61" s="244"/>
      <c r="D61" s="158" t="str">
        <f>IF(B56="","",IF(B56&gt;5,"Yes","No"))</f>
        <v/>
      </c>
      <c r="E61" s="322" t="str">
        <f>IF(D61&gt;"Yes","Does not meet design criteria","")</f>
        <v/>
      </c>
      <c r="F61" s="323"/>
      <c r="G61" s="323"/>
      <c r="H61" s="324"/>
    </row>
    <row r="62" spans="1:9" ht="25.5" customHeight="1" x14ac:dyDescent="0.25">
      <c r="A62" s="242" t="s">
        <v>713</v>
      </c>
      <c r="B62" s="243"/>
      <c r="C62" s="244"/>
      <c r="D62" s="43"/>
      <c r="E62" s="322" t="str">
        <f>IF(D62="","",IF(D62&lt;2,"Does not  meet design criteria",""))</f>
        <v/>
      </c>
      <c r="F62" s="323"/>
      <c r="G62" s="323"/>
      <c r="H62" s="324"/>
    </row>
    <row r="63" spans="1:9" x14ac:dyDescent="0.25">
      <c r="A63" s="242" t="s">
        <v>297</v>
      </c>
      <c r="B63" s="243"/>
      <c r="C63" s="244"/>
      <c r="D63" s="43"/>
      <c r="E63" s="322" t="str">
        <f>IF(D63="","",IF(D63&lt;2,"Does not meet design criteria",""))</f>
        <v/>
      </c>
      <c r="F63" s="323"/>
      <c r="G63" s="323"/>
      <c r="H63" s="324"/>
    </row>
    <row r="64" spans="1:9" ht="28.15" customHeight="1" x14ac:dyDescent="0.25">
      <c r="A64" s="242" t="s">
        <v>710</v>
      </c>
      <c r="B64" s="243"/>
      <c r="C64" s="244"/>
      <c r="D64" s="211"/>
      <c r="E64" s="322" t="str">
        <f>IF(D64="No","Does not meet design criteria","")</f>
        <v/>
      </c>
      <c r="F64" s="323"/>
      <c r="G64" s="323"/>
      <c r="H64" s="324"/>
    </row>
    <row r="65" spans="1:8" ht="15" customHeight="1" x14ac:dyDescent="0.25">
      <c r="A65" s="242" t="s">
        <v>559</v>
      </c>
      <c r="B65" s="243"/>
      <c r="C65" s="244"/>
      <c r="D65" s="43"/>
      <c r="E65" s="322" t="str">
        <f>IF(D65="","",IF(D65&gt;0.5,"Does not meet design criteria",""))</f>
        <v/>
      </c>
      <c r="F65" s="323"/>
      <c r="G65" s="323"/>
      <c r="H65" s="324"/>
    </row>
    <row r="66" spans="1:8" ht="15" customHeight="1" x14ac:dyDescent="0.25">
      <c r="A66" s="242" t="s">
        <v>378</v>
      </c>
      <c r="B66" s="243"/>
      <c r="C66" s="244"/>
      <c r="D66" s="43"/>
      <c r="E66" s="322" t="str">
        <f>IF(D66="","",IF(D66&lt;3,"Does not meet design criteria",""))</f>
        <v/>
      </c>
      <c r="F66" s="323"/>
      <c r="G66" s="323"/>
      <c r="H66" s="324"/>
    </row>
    <row r="67" spans="1:8" ht="15" customHeight="1" x14ac:dyDescent="0.25">
      <c r="A67" s="242" t="s">
        <v>558</v>
      </c>
      <c r="B67" s="243"/>
      <c r="C67" s="244"/>
      <c r="D67" s="43"/>
      <c r="E67" s="322" t="str">
        <f>IF(D67="","",IF(D67&gt;4,"Does not meet design criteria",IF(D67&lt;2.5,"Does not meet design criteria","")))</f>
        <v/>
      </c>
      <c r="F67" s="323"/>
      <c r="G67" s="323"/>
      <c r="H67" s="324"/>
    </row>
    <row r="68" spans="1:8" ht="15" customHeight="1" x14ac:dyDescent="0.25">
      <c r="A68" s="242" t="s">
        <v>402</v>
      </c>
      <c r="B68" s="243"/>
      <c r="C68" s="244"/>
      <c r="D68" s="43"/>
      <c r="E68" s="322" t="str">
        <f>IF(D68="","",IF(D68&lt;6,"Does not meet design criteria",""))</f>
        <v/>
      </c>
      <c r="F68" s="323"/>
      <c r="G68" s="323"/>
      <c r="H68" s="324"/>
    </row>
    <row r="69" spans="1:8" ht="15" customHeight="1" x14ac:dyDescent="0.25">
      <c r="A69" s="242" t="s">
        <v>520</v>
      </c>
      <c r="B69" s="243"/>
      <c r="C69" s="244"/>
      <c r="D69" s="43"/>
      <c r="E69" s="322" t="str">
        <f>IF(D69&gt;15,"Does not meet design criteria","")</f>
        <v/>
      </c>
      <c r="F69" s="323"/>
      <c r="G69" s="323"/>
      <c r="H69" s="324"/>
    </row>
    <row r="70" spans="1:8" ht="15" customHeight="1" x14ac:dyDescent="0.25">
      <c r="A70" s="242" t="s">
        <v>521</v>
      </c>
      <c r="B70" s="243"/>
      <c r="C70" s="244"/>
      <c r="D70" s="43"/>
      <c r="E70" s="322" t="str">
        <f>IF(D70="","",IF(D70&lt;12,"Does not meet design criteria",""))</f>
        <v/>
      </c>
      <c r="F70" s="323"/>
      <c r="G70" s="323"/>
      <c r="H70" s="324"/>
    </row>
    <row r="71" spans="1:8" ht="15" customHeight="1" x14ac:dyDescent="0.25">
      <c r="A71" s="236" t="s">
        <v>232</v>
      </c>
      <c r="B71" s="237"/>
      <c r="C71" s="237"/>
      <c r="D71" s="237"/>
      <c r="E71" s="237"/>
      <c r="F71" s="237"/>
      <c r="G71" s="237"/>
      <c r="H71" s="238"/>
    </row>
    <row r="72" spans="1:8" ht="15" customHeight="1" x14ac:dyDescent="0.25">
      <c r="A72" s="35"/>
      <c r="B72" s="36"/>
      <c r="C72" s="36"/>
      <c r="D72" s="37"/>
      <c r="E72" s="302" t="s">
        <v>256</v>
      </c>
      <c r="F72" s="302"/>
      <c r="G72" s="38" t="s">
        <v>257</v>
      </c>
      <c r="H72" s="38" t="s">
        <v>258</v>
      </c>
    </row>
    <row r="73" spans="1:8" ht="15" customHeight="1" x14ac:dyDescent="0.25">
      <c r="A73" s="266" t="s">
        <v>306</v>
      </c>
      <c r="B73" s="267"/>
      <c r="C73" s="268"/>
      <c r="D73" s="198" t="s">
        <v>307</v>
      </c>
      <c r="E73" s="289">
        <v>1</v>
      </c>
      <c r="F73" s="289"/>
      <c r="G73" s="193" t="s">
        <v>308</v>
      </c>
      <c r="H73" s="219" t="str">
        <f>IF(E73&gt;1,"Sizing as Filter","")</f>
        <v/>
      </c>
    </row>
    <row r="74" spans="1:8" ht="15" customHeight="1" x14ac:dyDescent="0.25">
      <c r="A74" s="289" t="s">
        <v>388</v>
      </c>
      <c r="B74" s="289"/>
      <c r="C74" s="289"/>
      <c r="D74" s="198" t="s">
        <v>312</v>
      </c>
      <c r="E74" s="289">
        <v>2</v>
      </c>
      <c r="F74" s="289"/>
      <c r="G74" s="193" t="s">
        <v>313</v>
      </c>
      <c r="H74" s="192"/>
    </row>
    <row r="75" spans="1:8" ht="15" customHeight="1" x14ac:dyDescent="0.25">
      <c r="A75" s="266" t="s">
        <v>381</v>
      </c>
      <c r="B75" s="267"/>
      <c r="C75" s="268"/>
      <c r="D75" s="198" t="s">
        <v>315</v>
      </c>
      <c r="E75" s="308" t="e">
        <f>ROUNDUP((F56*D67)/(E73*(D65+D67)*E74),0)</f>
        <v>#VALUE!</v>
      </c>
      <c r="F75" s="308"/>
      <c r="G75" s="193" t="s">
        <v>316</v>
      </c>
      <c r="H75" s="192"/>
    </row>
    <row r="76" spans="1:8" ht="12.75" customHeight="1" x14ac:dyDescent="0.25">
      <c r="A76" s="266" t="s">
        <v>382</v>
      </c>
      <c r="B76" s="267"/>
      <c r="C76" s="268"/>
      <c r="D76" s="198" t="s">
        <v>315</v>
      </c>
      <c r="E76" s="336"/>
      <c r="F76" s="336"/>
      <c r="G76" s="193" t="s">
        <v>316</v>
      </c>
      <c r="H76" s="219" t="str">
        <f>IF(E76="","",IF(E76&lt;E75,"Does not meet sizing criteria",""))</f>
        <v/>
      </c>
    </row>
    <row r="77" spans="1:8" ht="30.25" customHeight="1" x14ac:dyDescent="0.25">
      <c r="A77" s="236" t="s">
        <v>276</v>
      </c>
      <c r="B77" s="237"/>
      <c r="C77" s="237"/>
      <c r="D77" s="237"/>
      <c r="E77" s="237"/>
      <c r="F77" s="237"/>
      <c r="G77" s="237"/>
      <c r="H77" s="238"/>
    </row>
    <row r="78" spans="1:8" ht="30.25" customHeight="1" x14ac:dyDescent="0.25">
      <c r="A78" s="335" t="s">
        <v>241</v>
      </c>
      <c r="B78" s="335"/>
      <c r="C78" s="9" t="str">
        <f>IF(A56="","",IF(D60="Yes",0,IF(D58&lt;0.5,0,IF(D61="Yes",0,IF(D62&lt;2,0,IF(D63&lt;2,0,IF(D64="No",0,IF(D65&gt;0.5,0,IF(D66&lt;3,0,IF(D67&lt;2.5,0,IF(D67&gt;4,0,IF(D68&lt;6,0,IF(D69&gt;15,0,IF(D70&lt;12,0,IF(E76&lt;E75,0,F56*1)))))))))))))))</f>
        <v/>
      </c>
      <c r="D78" s="339" t="s">
        <v>2</v>
      </c>
      <c r="E78" s="340"/>
      <c r="F78" s="340"/>
      <c r="G78" s="340"/>
      <c r="H78" s="341"/>
    </row>
    <row r="79" spans="1:8" ht="13" x14ac:dyDescent="0.3">
      <c r="A79" s="24" t="s">
        <v>56</v>
      </c>
      <c r="B79" s="23" t="str">
        <f>IF('STEP 2-WQv Calculation'!$B$4="","",'STEP 2-WQv Calculation'!$B$4)</f>
        <v/>
      </c>
      <c r="C79" s="31"/>
      <c r="D79" s="31"/>
      <c r="E79" s="32"/>
      <c r="F79" s="33"/>
      <c r="G79" s="33"/>
      <c r="H79" s="33"/>
    </row>
    <row r="80" spans="1:8" ht="13" x14ac:dyDescent="0.25">
      <c r="A80" s="331" t="s">
        <v>293</v>
      </c>
      <c r="B80" s="332"/>
      <c r="C80" s="332"/>
      <c r="D80" s="332"/>
      <c r="E80" s="332"/>
      <c r="F80" s="332"/>
      <c r="G80" s="332"/>
      <c r="H80" s="333"/>
    </row>
    <row r="81" spans="1:9" ht="38.5" x14ac:dyDescent="0.25">
      <c r="A81" s="204" t="s">
        <v>60</v>
      </c>
      <c r="B81" s="205" t="s">
        <v>61</v>
      </c>
      <c r="C81" s="205" t="s">
        <v>62</v>
      </c>
      <c r="D81" s="205" t="s">
        <v>63</v>
      </c>
      <c r="E81" s="205" t="s">
        <v>64</v>
      </c>
      <c r="F81" s="205" t="s">
        <v>65</v>
      </c>
      <c r="G81" s="205" t="s">
        <v>244</v>
      </c>
      <c r="H81" s="206" t="s">
        <v>13</v>
      </c>
    </row>
    <row r="82" spans="1:9" x14ac:dyDescent="0.25">
      <c r="A82" s="17"/>
      <c r="B82" s="18" t="str">
        <f>IF($A82="","",(LOOKUP($A82,'STEP 2-WQv Calculation'!$A$8:$A$37,'STEP 2-WQv Calculation'!$B$8:$B$37)))</f>
        <v/>
      </c>
      <c r="C82" s="18" t="str">
        <f>IF($A82="","",(LOOKUP($A82,'STEP 2-WQv Calculation'!$A$8:$A$37,'STEP 2-WQv Calculation'!$C$8:$C$37)))</f>
        <v/>
      </c>
      <c r="D82" s="53" t="str">
        <f>IF($A82="","",(LOOKUP($A82,'STEP 2-WQv Calculation'!$A$8:$A$37,'STEP 2-WQv Calculation'!$D$8:$D$37)))</f>
        <v/>
      </c>
      <c r="E82" s="18" t="str">
        <f>IF($A82="","",(LOOKUP($A82,'STEP 2-WQv Calculation'!$A$8:$A$37,'STEP 2-WQv Calculation'!$E$8:$E$37)))</f>
        <v/>
      </c>
      <c r="F82" s="42" t="str">
        <f>IF($A82="","",(LOOKUP($A82,'STEP 2-WQv Calculation'!$A$8:$A$37,'STEP 2-WQv Calculation'!$F$8:$F$37)))</f>
        <v/>
      </c>
      <c r="G82" s="18">
        <f>'STEP 2-WQv Calculation'!$B$5</f>
        <v>0</v>
      </c>
      <c r="H82" s="29" t="str">
        <f>IF($A82="","",(LOOKUP($A82,'STEP 2-WQv Calculation'!$A$8:$A$37,'STEP 2-WQv Calculation'!$G$8:$G$37)))</f>
        <v/>
      </c>
    </row>
    <row r="83" spans="1:9" ht="15" customHeight="1" x14ac:dyDescent="0.25">
      <c r="A83" s="236" t="s">
        <v>226</v>
      </c>
      <c r="B83" s="237"/>
      <c r="C83" s="237"/>
      <c r="D83" s="237"/>
      <c r="E83" s="237"/>
      <c r="F83" s="237"/>
      <c r="G83" s="237"/>
      <c r="H83" s="238"/>
    </row>
    <row r="84" spans="1:9" ht="28.9" customHeight="1" x14ac:dyDescent="0.25">
      <c r="A84" s="242" t="s">
        <v>295</v>
      </c>
      <c r="B84" s="243"/>
      <c r="C84" s="244"/>
      <c r="D84" s="44"/>
      <c r="E84" s="322" t="str">
        <f>IF(D84="","",IF(D84&lt;0.5,"Does not meet design criteria",""))</f>
        <v/>
      </c>
      <c r="F84" s="323"/>
      <c r="G84" s="323"/>
      <c r="H84" s="324"/>
    </row>
    <row r="85" spans="1:9" ht="28.9" customHeight="1" x14ac:dyDescent="0.25">
      <c r="A85" s="242" t="s">
        <v>717</v>
      </c>
      <c r="B85" s="243"/>
      <c r="C85" s="244"/>
      <c r="D85" s="211"/>
      <c r="E85" s="322" t="str">
        <f>IF(D85="Yes","Two treatment practices in series required. Refer to Section 6.3.1","")</f>
        <v/>
      </c>
      <c r="F85" s="323"/>
      <c r="G85" s="323"/>
      <c r="H85" s="324"/>
    </row>
    <row r="86" spans="1:9" s="1" customFormat="1" ht="26.5" customHeight="1" x14ac:dyDescent="0.35">
      <c r="A86" s="242" t="s">
        <v>718</v>
      </c>
      <c r="B86" s="243"/>
      <c r="C86" s="244"/>
      <c r="D86" s="211"/>
      <c r="E86" s="322" t="str">
        <f>IF(D86="","See Section 4.14 of the Design Manual",IF(D86="Yes","Does not meet feasibility criteria",""))</f>
        <v>See Section 4.14 of the Design Manual</v>
      </c>
      <c r="F86" s="323"/>
      <c r="G86" s="323"/>
      <c r="H86" s="324"/>
      <c r="I86" s="4"/>
    </row>
    <row r="87" spans="1:9" ht="27" customHeight="1" x14ac:dyDescent="0.25">
      <c r="A87" s="242" t="s">
        <v>494</v>
      </c>
      <c r="B87" s="243"/>
      <c r="C87" s="244"/>
      <c r="D87" s="158" t="str">
        <f>IF(B82="","",IF(B82&gt;5,"Yes","No"))</f>
        <v/>
      </c>
      <c r="E87" s="322" t="str">
        <f>IF(D87&gt;"Yes","Does not meet design criteria","")</f>
        <v/>
      </c>
      <c r="F87" s="323"/>
      <c r="G87" s="323"/>
      <c r="H87" s="324"/>
    </row>
    <row r="88" spans="1:9" ht="31.5" customHeight="1" x14ac:dyDescent="0.25">
      <c r="A88" s="242" t="s">
        <v>713</v>
      </c>
      <c r="B88" s="243"/>
      <c r="C88" s="244"/>
      <c r="D88" s="43"/>
      <c r="E88" s="322" t="str">
        <f>IF(D88="","",IF(D88&lt;2,"Does not  meet design criteria",""))</f>
        <v/>
      </c>
      <c r="F88" s="323"/>
      <c r="G88" s="323"/>
      <c r="H88" s="324"/>
    </row>
    <row r="89" spans="1:9" ht="15" customHeight="1" x14ac:dyDescent="0.25">
      <c r="A89" s="242" t="s">
        <v>297</v>
      </c>
      <c r="B89" s="243"/>
      <c r="C89" s="244"/>
      <c r="D89" s="43"/>
      <c r="E89" s="322" t="str">
        <f>IF(D89="","",IF(D89&lt;2,"Does not meet design criteria",""))</f>
        <v/>
      </c>
      <c r="F89" s="323"/>
      <c r="G89" s="323"/>
      <c r="H89" s="324"/>
    </row>
    <row r="90" spans="1:9" ht="28.9" customHeight="1" x14ac:dyDescent="0.25">
      <c r="A90" s="242" t="s">
        <v>710</v>
      </c>
      <c r="B90" s="243"/>
      <c r="C90" s="244"/>
      <c r="D90" s="211"/>
      <c r="E90" s="322" t="str">
        <f>IF(D90="No","Does not meet design criteria","")</f>
        <v/>
      </c>
      <c r="F90" s="323"/>
      <c r="G90" s="323"/>
      <c r="H90" s="324"/>
    </row>
    <row r="91" spans="1:9" ht="15" customHeight="1" x14ac:dyDescent="0.25">
      <c r="A91" s="242" t="s">
        <v>559</v>
      </c>
      <c r="B91" s="243"/>
      <c r="C91" s="244"/>
      <c r="D91" s="43"/>
      <c r="E91" s="322" t="str">
        <f>IF(D91="","",IF(D91&gt;0.5,"Does not meet design criteria",""))</f>
        <v/>
      </c>
      <c r="F91" s="323"/>
      <c r="G91" s="323"/>
      <c r="H91" s="324"/>
    </row>
    <row r="92" spans="1:9" ht="15" customHeight="1" x14ac:dyDescent="0.25">
      <c r="A92" s="242" t="s">
        <v>378</v>
      </c>
      <c r="B92" s="243"/>
      <c r="C92" s="244"/>
      <c r="D92" s="43"/>
      <c r="E92" s="322" t="str">
        <f>IF(D92="","",IF(D92&lt;3,"Does not meet design criteria",""))</f>
        <v/>
      </c>
      <c r="F92" s="323"/>
      <c r="G92" s="323"/>
      <c r="H92" s="324"/>
    </row>
    <row r="93" spans="1:9" ht="15" customHeight="1" x14ac:dyDescent="0.25">
      <c r="A93" s="242" t="s">
        <v>558</v>
      </c>
      <c r="B93" s="243"/>
      <c r="C93" s="244"/>
      <c r="D93" s="43"/>
      <c r="E93" s="322" t="str">
        <f>IF(D93="","",IF(D93&gt;4,"Does not meet design criteria",IF(D93&lt;2.5,"Does not meet design criteria","")))</f>
        <v/>
      </c>
      <c r="F93" s="323"/>
      <c r="G93" s="323"/>
      <c r="H93" s="324"/>
    </row>
    <row r="94" spans="1:9" ht="15" customHeight="1" x14ac:dyDescent="0.25">
      <c r="A94" s="242" t="s">
        <v>402</v>
      </c>
      <c r="B94" s="243"/>
      <c r="C94" s="244"/>
      <c r="D94" s="43"/>
      <c r="E94" s="322" t="str">
        <f>IF(D94="","",IF(D94&lt;6,"Does not meet design criteria",""))</f>
        <v/>
      </c>
      <c r="F94" s="323"/>
      <c r="G94" s="323"/>
      <c r="H94" s="324"/>
    </row>
    <row r="95" spans="1:9" ht="15" customHeight="1" x14ac:dyDescent="0.25">
      <c r="A95" s="242" t="s">
        <v>520</v>
      </c>
      <c r="B95" s="243"/>
      <c r="C95" s="244"/>
      <c r="D95" s="43"/>
      <c r="E95" s="322" t="str">
        <f>IF(D95&gt;15,"Does not meet design criteria","")</f>
        <v/>
      </c>
      <c r="F95" s="323"/>
      <c r="G95" s="323"/>
      <c r="H95" s="324"/>
    </row>
    <row r="96" spans="1:9" ht="15" customHeight="1" x14ac:dyDescent="0.25">
      <c r="A96" s="242" t="s">
        <v>521</v>
      </c>
      <c r="B96" s="243"/>
      <c r="C96" s="244"/>
      <c r="D96" s="43"/>
      <c r="E96" s="322" t="str">
        <f>IF(D96="","",IF(D96&lt;12,"Does not meet design criteria",""))</f>
        <v/>
      </c>
      <c r="F96" s="323"/>
      <c r="G96" s="323"/>
      <c r="H96" s="324"/>
    </row>
    <row r="97" spans="1:9" ht="15" customHeight="1" x14ac:dyDescent="0.25">
      <c r="A97" s="236" t="s">
        <v>232</v>
      </c>
      <c r="B97" s="237"/>
      <c r="C97" s="237"/>
      <c r="D97" s="237"/>
      <c r="E97" s="237"/>
      <c r="F97" s="237"/>
      <c r="G97" s="237"/>
      <c r="H97" s="238"/>
    </row>
    <row r="98" spans="1:9" ht="30.25" customHeight="1" x14ac:dyDescent="0.25">
      <c r="A98" s="35"/>
      <c r="B98" s="36"/>
      <c r="C98" s="36"/>
      <c r="D98" s="37"/>
      <c r="E98" s="302" t="s">
        <v>256</v>
      </c>
      <c r="F98" s="302"/>
      <c r="G98" s="38" t="s">
        <v>257</v>
      </c>
      <c r="H98" s="38" t="s">
        <v>258</v>
      </c>
    </row>
    <row r="99" spans="1:9" ht="15" customHeight="1" x14ac:dyDescent="0.25">
      <c r="A99" s="266" t="s">
        <v>306</v>
      </c>
      <c r="B99" s="267"/>
      <c r="C99" s="268"/>
      <c r="D99" s="198" t="s">
        <v>307</v>
      </c>
      <c r="E99" s="289">
        <v>1</v>
      </c>
      <c r="F99" s="289"/>
      <c r="G99" s="193" t="s">
        <v>308</v>
      </c>
      <c r="H99" s="219" t="str">
        <f>IF(E99&gt;1,"Sizing as Filter","")</f>
        <v/>
      </c>
    </row>
    <row r="100" spans="1:9" x14ac:dyDescent="0.25">
      <c r="A100" s="289" t="s">
        <v>388</v>
      </c>
      <c r="B100" s="289"/>
      <c r="C100" s="289"/>
      <c r="D100" s="198" t="s">
        <v>312</v>
      </c>
      <c r="E100" s="289">
        <v>2</v>
      </c>
      <c r="F100" s="289"/>
      <c r="G100" s="193" t="s">
        <v>313</v>
      </c>
      <c r="H100" s="192"/>
    </row>
    <row r="101" spans="1:9" x14ac:dyDescent="0.25">
      <c r="A101" s="266" t="s">
        <v>381</v>
      </c>
      <c r="B101" s="267"/>
      <c r="C101" s="268"/>
      <c r="D101" s="198" t="s">
        <v>315</v>
      </c>
      <c r="E101" s="308" t="e">
        <f>ROUNDUP((F82*D93)/(E99*(D91+D93)*E100),0)</f>
        <v>#VALUE!</v>
      </c>
      <c r="F101" s="308"/>
      <c r="G101" s="193" t="s">
        <v>316</v>
      </c>
      <c r="H101" s="192"/>
    </row>
    <row r="102" spans="1:9" ht="15" customHeight="1" x14ac:dyDescent="0.25">
      <c r="A102" s="266" t="s">
        <v>382</v>
      </c>
      <c r="B102" s="267"/>
      <c r="C102" s="268"/>
      <c r="D102" s="198" t="s">
        <v>315</v>
      </c>
      <c r="E102" s="336"/>
      <c r="F102" s="336"/>
      <c r="G102" s="193" t="s">
        <v>316</v>
      </c>
      <c r="H102" s="219" t="str">
        <f>IF(E102="","",IF(E102&lt;E101,"Does not meet sizing criteria",""))</f>
        <v/>
      </c>
    </row>
    <row r="103" spans="1:9" ht="15" customHeight="1" x14ac:dyDescent="0.25">
      <c r="A103" s="236" t="s">
        <v>276</v>
      </c>
      <c r="B103" s="237"/>
      <c r="C103" s="237"/>
      <c r="D103" s="237"/>
      <c r="E103" s="237"/>
      <c r="F103" s="237"/>
      <c r="G103" s="237"/>
      <c r="H103" s="238"/>
    </row>
    <row r="104" spans="1:9" ht="15" customHeight="1" x14ac:dyDescent="0.25">
      <c r="A104" s="335" t="s">
        <v>241</v>
      </c>
      <c r="B104" s="335"/>
      <c r="C104" s="9" t="str">
        <f>IF(A82="","",IF(D86="Yes",0,IF(D84&lt;0.5,0,IF(D87="Yes",0,IF(D88&lt;2,0,IF(D89&lt;2,0,IF(D90="No",0,IF(D91&gt;0.5,0,IF(D92&lt;3,0,IF(D93&lt;2.5,0,IF(D93&gt;4,0,IF(D94&lt;6,0,IF(D95&gt;15,0,IF(D96&lt;12,0,IF(E102&lt;E101,0,F82*1)))))))))))))))</f>
        <v/>
      </c>
      <c r="D104" s="339" t="s">
        <v>2</v>
      </c>
      <c r="E104" s="340"/>
      <c r="F104" s="340"/>
      <c r="G104" s="340"/>
      <c r="H104" s="341"/>
    </row>
    <row r="105" spans="1:9" ht="13" x14ac:dyDescent="0.3">
      <c r="A105" s="24" t="s">
        <v>56</v>
      </c>
      <c r="B105" s="23" t="str">
        <f>IF('STEP 2-WQv Calculation'!$B$4="","",'STEP 2-WQv Calculation'!$B$4)</f>
        <v/>
      </c>
      <c r="C105" s="31"/>
      <c r="D105" s="31"/>
      <c r="E105" s="32"/>
      <c r="F105" s="33"/>
      <c r="G105" s="33"/>
      <c r="H105" s="33"/>
    </row>
    <row r="106" spans="1:9" ht="15" customHeight="1" x14ac:dyDescent="0.25">
      <c r="A106" s="331" t="s">
        <v>293</v>
      </c>
      <c r="B106" s="332"/>
      <c r="C106" s="332"/>
      <c r="D106" s="332"/>
      <c r="E106" s="332"/>
      <c r="F106" s="332"/>
      <c r="G106" s="332"/>
      <c r="H106" s="333"/>
    </row>
    <row r="107" spans="1:9" ht="38.5" x14ac:dyDescent="0.25">
      <c r="A107" s="204" t="s">
        <v>60</v>
      </c>
      <c r="B107" s="205" t="s">
        <v>61</v>
      </c>
      <c r="C107" s="205" t="s">
        <v>62</v>
      </c>
      <c r="D107" s="205" t="s">
        <v>63</v>
      </c>
      <c r="E107" s="205" t="s">
        <v>64</v>
      </c>
      <c r="F107" s="205" t="s">
        <v>65</v>
      </c>
      <c r="G107" s="205" t="s">
        <v>244</v>
      </c>
      <c r="H107" s="206" t="s">
        <v>13</v>
      </c>
    </row>
    <row r="108" spans="1:9" x14ac:dyDescent="0.25">
      <c r="A108" s="17"/>
      <c r="B108" s="18" t="str">
        <f>IF($A108="","",(LOOKUP($A108,'STEP 2-WQv Calculation'!$A$8:$A$37,'STEP 2-WQv Calculation'!$B$8:$B$37)))</f>
        <v/>
      </c>
      <c r="C108" s="18" t="str">
        <f>IF($A108="","",(LOOKUP($A108,'STEP 2-WQv Calculation'!$A$8:$A$37,'STEP 2-WQv Calculation'!$C$8:$C$37)))</f>
        <v/>
      </c>
      <c r="D108" s="53" t="str">
        <f>IF($A108="","",(LOOKUP($A108,'STEP 2-WQv Calculation'!$A$8:$A$37,'STEP 2-WQv Calculation'!$D$8:$D$37)))</f>
        <v/>
      </c>
      <c r="E108" s="18" t="str">
        <f>IF($A108="","",(LOOKUP($A108,'STEP 2-WQv Calculation'!$A$8:$A$37,'STEP 2-WQv Calculation'!$E$8:$E$37)))</f>
        <v/>
      </c>
      <c r="F108" s="42" t="str">
        <f>IF($A108="","",(LOOKUP($A108,'STEP 2-WQv Calculation'!$A$8:$A$37,'STEP 2-WQv Calculation'!$F$8:$F$37)))</f>
        <v/>
      </c>
      <c r="G108" s="18">
        <f>'STEP 2-WQv Calculation'!$B$5</f>
        <v>0</v>
      </c>
      <c r="H108" s="29" t="str">
        <f>IF($A108="","",(LOOKUP($A108,'STEP 2-WQv Calculation'!$A$8:$A$37,'STEP 2-WQv Calculation'!$G$8:$G$37)))</f>
        <v/>
      </c>
    </row>
    <row r="109" spans="1:9" ht="15" customHeight="1" x14ac:dyDescent="0.25">
      <c r="A109" s="236" t="s">
        <v>226</v>
      </c>
      <c r="B109" s="237"/>
      <c r="C109" s="237"/>
      <c r="D109" s="237"/>
      <c r="E109" s="237"/>
      <c r="F109" s="237"/>
      <c r="G109" s="237"/>
      <c r="H109" s="238"/>
    </row>
    <row r="110" spans="1:9" ht="29.5" customHeight="1" x14ac:dyDescent="0.25">
      <c r="A110" s="242" t="s">
        <v>295</v>
      </c>
      <c r="B110" s="243"/>
      <c r="C110" s="244"/>
      <c r="D110" s="44"/>
      <c r="E110" s="322" t="str">
        <f>IF(D110="","",IF(D110&lt;0.5,"Does not meet design criteria",""))</f>
        <v/>
      </c>
      <c r="F110" s="323"/>
      <c r="G110" s="323"/>
      <c r="H110" s="324"/>
    </row>
    <row r="111" spans="1:9" ht="30" customHeight="1" x14ac:dyDescent="0.25">
      <c r="A111" s="242" t="s">
        <v>717</v>
      </c>
      <c r="B111" s="243"/>
      <c r="C111" s="244"/>
      <c r="D111" s="211"/>
      <c r="E111" s="322" t="str">
        <f>IF(D111="Yes","Two treatment practices in series required. Refer to Section 6.3.1","")</f>
        <v/>
      </c>
      <c r="F111" s="323"/>
      <c r="G111" s="323"/>
      <c r="H111" s="324"/>
    </row>
    <row r="112" spans="1:9" s="1" customFormat="1" ht="26.5" customHeight="1" x14ac:dyDescent="0.35">
      <c r="A112" s="242" t="s">
        <v>718</v>
      </c>
      <c r="B112" s="243"/>
      <c r="C112" s="244"/>
      <c r="D112" s="211"/>
      <c r="E112" s="322" t="str">
        <f>IF(D112="","See Section 4.14 of the Design Manual",IF(D112="Yes","Does not meet feasibility criteria",""))</f>
        <v>See Section 4.14 of the Design Manual</v>
      </c>
      <c r="F112" s="323"/>
      <c r="G112" s="323"/>
      <c r="H112" s="324"/>
      <c r="I112" s="4"/>
    </row>
    <row r="113" spans="1:8" ht="27" customHeight="1" x14ac:dyDescent="0.25">
      <c r="A113" s="242" t="s">
        <v>494</v>
      </c>
      <c r="B113" s="243"/>
      <c r="C113" s="244"/>
      <c r="D113" s="158" t="str">
        <f>IF(B108="","",IF(B108&gt;5,"Yes","No"))</f>
        <v/>
      </c>
      <c r="E113" s="322" t="str">
        <f>IF(D113&gt;"Yes","Does not meet design criteria","")</f>
        <v/>
      </c>
      <c r="F113" s="323"/>
      <c r="G113" s="323"/>
      <c r="H113" s="324"/>
    </row>
    <row r="114" spans="1:8" ht="25.5" customHeight="1" x14ac:dyDescent="0.25">
      <c r="A114" s="242" t="s">
        <v>713</v>
      </c>
      <c r="B114" s="243"/>
      <c r="C114" s="244"/>
      <c r="D114" s="43"/>
      <c r="E114" s="322" t="str">
        <f>IF(D114="","",IF(D114&lt;2,"Does not  meet design criteria",""))</f>
        <v/>
      </c>
      <c r="F114" s="323"/>
      <c r="G114" s="323"/>
      <c r="H114" s="324"/>
    </row>
    <row r="115" spans="1:8" x14ac:dyDescent="0.25">
      <c r="A115" s="242" t="s">
        <v>297</v>
      </c>
      <c r="B115" s="243"/>
      <c r="C115" s="244"/>
      <c r="D115" s="43"/>
      <c r="E115" s="322" t="str">
        <f>IF(D115="","",IF(D115&lt;2,"Does not meet design criteria",""))</f>
        <v/>
      </c>
      <c r="F115" s="323"/>
      <c r="G115" s="323"/>
      <c r="H115" s="324"/>
    </row>
    <row r="116" spans="1:8" ht="30.25" customHeight="1" x14ac:dyDescent="0.25">
      <c r="A116" s="242" t="s">
        <v>710</v>
      </c>
      <c r="B116" s="243"/>
      <c r="C116" s="244"/>
      <c r="D116" s="211"/>
      <c r="E116" s="322" t="str">
        <f>IF(D116="No","Does not meet design criteria","")</f>
        <v/>
      </c>
      <c r="F116" s="323"/>
      <c r="G116" s="323"/>
      <c r="H116" s="324"/>
    </row>
    <row r="117" spans="1:8" ht="12.75" customHeight="1" x14ac:dyDescent="0.25">
      <c r="A117" s="242" t="s">
        <v>559</v>
      </c>
      <c r="B117" s="243"/>
      <c r="C117" s="244"/>
      <c r="D117" s="43"/>
      <c r="E117" s="322" t="str">
        <f>IF(D117="","",IF(D117&gt;0.5,"Does not meet design criteria",""))</f>
        <v/>
      </c>
      <c r="F117" s="323"/>
      <c r="G117" s="323"/>
      <c r="H117" s="324"/>
    </row>
    <row r="118" spans="1:8" ht="15" customHeight="1" x14ac:dyDescent="0.25">
      <c r="A118" s="242" t="s">
        <v>378</v>
      </c>
      <c r="B118" s="243"/>
      <c r="C118" s="244"/>
      <c r="D118" s="43"/>
      <c r="E118" s="322" t="str">
        <f>IF(D118="","",IF(D118&lt;3,"Does not meet design criteria",""))</f>
        <v/>
      </c>
      <c r="F118" s="323"/>
      <c r="G118" s="323"/>
      <c r="H118" s="324"/>
    </row>
    <row r="119" spans="1:8" ht="15" customHeight="1" x14ac:dyDescent="0.25">
      <c r="A119" s="242" t="s">
        <v>558</v>
      </c>
      <c r="B119" s="243"/>
      <c r="C119" s="244"/>
      <c r="D119" s="43"/>
      <c r="E119" s="322" t="str">
        <f>IF(D119="","",IF(D119&gt;4,"Does not meet design criteria",IF(D119&lt;2.5,"Does not meet design criteria","")))</f>
        <v/>
      </c>
      <c r="F119" s="323"/>
      <c r="G119" s="323"/>
      <c r="H119" s="324"/>
    </row>
    <row r="120" spans="1:8" ht="15" customHeight="1" x14ac:dyDescent="0.25">
      <c r="A120" s="242" t="s">
        <v>402</v>
      </c>
      <c r="B120" s="243"/>
      <c r="C120" s="244"/>
      <c r="D120" s="43"/>
      <c r="E120" s="322" t="str">
        <f>IF(D120="","",IF(D120&lt;6,"Does not meet design criteria",""))</f>
        <v/>
      </c>
      <c r="F120" s="323"/>
      <c r="G120" s="323"/>
      <c r="H120" s="324"/>
    </row>
    <row r="121" spans="1:8" ht="15" customHeight="1" x14ac:dyDescent="0.25">
      <c r="A121" s="242" t="s">
        <v>520</v>
      </c>
      <c r="B121" s="243"/>
      <c r="C121" s="244"/>
      <c r="D121" s="43"/>
      <c r="E121" s="322" t="str">
        <f>IF(D121&gt;15,"Does not meet design criteria","")</f>
        <v/>
      </c>
      <c r="F121" s="323"/>
      <c r="G121" s="323"/>
      <c r="H121" s="324"/>
    </row>
    <row r="122" spans="1:8" ht="15" customHeight="1" x14ac:dyDescent="0.25">
      <c r="A122" s="242" t="s">
        <v>521</v>
      </c>
      <c r="B122" s="243"/>
      <c r="C122" s="244"/>
      <c r="D122" s="43"/>
      <c r="E122" s="322" t="str">
        <f>IF(D122="","",IF(D122&lt;12,"Does not meet design criteria",""))</f>
        <v/>
      </c>
      <c r="F122" s="323"/>
      <c r="G122" s="323"/>
      <c r="H122" s="324"/>
    </row>
    <row r="123" spans="1:8" ht="15" customHeight="1" x14ac:dyDescent="0.25">
      <c r="A123" s="236" t="s">
        <v>232</v>
      </c>
      <c r="B123" s="237"/>
      <c r="C123" s="237"/>
      <c r="D123" s="237"/>
      <c r="E123" s="237"/>
      <c r="F123" s="237"/>
      <c r="G123" s="237"/>
      <c r="H123" s="238"/>
    </row>
    <row r="124" spans="1:8" ht="15" customHeight="1" x14ac:dyDescent="0.25">
      <c r="A124" s="35"/>
      <c r="B124" s="36"/>
      <c r="C124" s="36"/>
      <c r="D124" s="37"/>
      <c r="E124" s="302" t="s">
        <v>256</v>
      </c>
      <c r="F124" s="302"/>
      <c r="G124" s="38" t="s">
        <v>257</v>
      </c>
      <c r="H124" s="38" t="s">
        <v>258</v>
      </c>
    </row>
    <row r="125" spans="1:8" ht="15" customHeight="1" x14ac:dyDescent="0.25">
      <c r="A125" s="266" t="s">
        <v>306</v>
      </c>
      <c r="B125" s="267"/>
      <c r="C125" s="268"/>
      <c r="D125" s="198" t="s">
        <v>307</v>
      </c>
      <c r="E125" s="289">
        <v>1</v>
      </c>
      <c r="F125" s="289"/>
      <c r="G125" s="193" t="s">
        <v>308</v>
      </c>
      <c r="H125" s="219" t="str">
        <f>IF(E125&gt;1,"Sizing as Filter","")</f>
        <v/>
      </c>
    </row>
    <row r="126" spans="1:8" ht="15" customHeight="1" x14ac:dyDescent="0.25">
      <c r="A126" s="289" t="s">
        <v>388</v>
      </c>
      <c r="B126" s="289"/>
      <c r="C126" s="289"/>
      <c r="D126" s="198" t="s">
        <v>312</v>
      </c>
      <c r="E126" s="289">
        <v>2</v>
      </c>
      <c r="F126" s="289"/>
      <c r="G126" s="193" t="s">
        <v>313</v>
      </c>
      <c r="H126" s="192"/>
    </row>
    <row r="127" spans="1:8" ht="15" customHeight="1" x14ac:dyDescent="0.25">
      <c r="A127" s="266" t="s">
        <v>381</v>
      </c>
      <c r="B127" s="267"/>
      <c r="C127" s="268"/>
      <c r="D127" s="198" t="s">
        <v>315</v>
      </c>
      <c r="E127" s="308" t="e">
        <f>ROUNDUP((F108*D119)/(E125*(D117+D119)*E126),0)</f>
        <v>#VALUE!</v>
      </c>
      <c r="F127" s="308"/>
      <c r="G127" s="193" t="s">
        <v>316</v>
      </c>
      <c r="H127" s="192"/>
    </row>
    <row r="128" spans="1:8" ht="15" customHeight="1" x14ac:dyDescent="0.25">
      <c r="A128" s="266" t="s">
        <v>382</v>
      </c>
      <c r="B128" s="267"/>
      <c r="C128" s="268"/>
      <c r="D128" s="198" t="s">
        <v>315</v>
      </c>
      <c r="E128" s="336"/>
      <c r="F128" s="336"/>
      <c r="G128" s="193" t="s">
        <v>316</v>
      </c>
      <c r="H128" s="219" t="str">
        <f>IF(E128="","",IF(E128&lt;E127,"Does not meet sizing criteria",""))</f>
        <v/>
      </c>
    </row>
    <row r="129" spans="1:8" ht="15" customHeight="1" x14ac:dyDescent="0.25">
      <c r="A129" s="236" t="s">
        <v>276</v>
      </c>
      <c r="B129" s="237"/>
      <c r="C129" s="237"/>
      <c r="D129" s="237"/>
      <c r="E129" s="237"/>
      <c r="F129" s="237"/>
      <c r="G129" s="237"/>
      <c r="H129" s="238"/>
    </row>
    <row r="130" spans="1:8" ht="15" customHeight="1" x14ac:dyDescent="0.25">
      <c r="A130" s="335" t="s">
        <v>241</v>
      </c>
      <c r="B130" s="335"/>
      <c r="C130" s="9" t="str">
        <f>IF(A108="","",IF(D112="Yes",0,IF(D110&lt;0.5,0,IF(D113="Yes",0,IF(D114&lt;2,0,IF(D115&lt;2,0,IF(D116="No",0,IF(D117&gt;0.5,0,IF(D118&lt;3,0,IF(D119&lt;2.5,0,IF(D119&gt;4,0,IF(D120&lt;6,0,IF(D121&gt;15,0,IF(D122&lt;12,0,IF(E128&lt;E127,0,F108*1)))))))))))))))</f>
        <v/>
      </c>
      <c r="D130" s="339" t="s">
        <v>2</v>
      </c>
      <c r="E130" s="340"/>
      <c r="F130" s="340"/>
      <c r="G130" s="340"/>
      <c r="H130" s="341"/>
    </row>
    <row r="131" spans="1:8" ht="15" customHeight="1" x14ac:dyDescent="0.3">
      <c r="A131" s="24" t="s">
        <v>56</v>
      </c>
      <c r="B131" s="23" t="str">
        <f>IF('STEP 2-WQv Calculation'!$B$4="","",'STEP 2-WQv Calculation'!$B$4)</f>
        <v/>
      </c>
      <c r="C131" s="31"/>
      <c r="D131" s="31"/>
      <c r="E131" s="32"/>
      <c r="F131" s="33"/>
      <c r="G131" s="33"/>
      <c r="H131" s="33"/>
    </row>
    <row r="132" spans="1:8" ht="15" customHeight="1" x14ac:dyDescent="0.25">
      <c r="A132" s="331" t="s">
        <v>293</v>
      </c>
      <c r="B132" s="332"/>
      <c r="C132" s="332"/>
      <c r="D132" s="332"/>
      <c r="E132" s="332"/>
      <c r="F132" s="332"/>
      <c r="G132" s="332"/>
      <c r="H132" s="333"/>
    </row>
    <row r="133" spans="1:8" ht="38.5" x14ac:dyDescent="0.25">
      <c r="A133" s="204" t="s">
        <v>60</v>
      </c>
      <c r="B133" s="205" t="s">
        <v>61</v>
      </c>
      <c r="C133" s="205" t="s">
        <v>62</v>
      </c>
      <c r="D133" s="205" t="s">
        <v>63</v>
      </c>
      <c r="E133" s="205" t="s">
        <v>64</v>
      </c>
      <c r="F133" s="205" t="s">
        <v>65</v>
      </c>
      <c r="G133" s="205" t="s">
        <v>244</v>
      </c>
      <c r="H133" s="206" t="s">
        <v>13</v>
      </c>
    </row>
    <row r="134" spans="1:8" ht="15" customHeight="1" x14ac:dyDescent="0.25">
      <c r="A134" s="17"/>
      <c r="B134" s="18" t="str">
        <f>IF($A134="","",(LOOKUP($A134,'STEP 2-WQv Calculation'!$A$8:$A$37,'STEP 2-WQv Calculation'!$B$8:$B$37)))</f>
        <v/>
      </c>
      <c r="C134" s="18" t="str">
        <f>IF($A134="","",(LOOKUP($A134,'STEP 2-WQv Calculation'!$A$8:$A$37,'STEP 2-WQv Calculation'!$C$8:$C$37)))</f>
        <v/>
      </c>
      <c r="D134" s="53" t="str">
        <f>IF($A134="","",(LOOKUP($A134,'STEP 2-WQv Calculation'!$A$8:$A$37,'STEP 2-WQv Calculation'!$D$8:$D$37)))</f>
        <v/>
      </c>
      <c r="E134" s="18" t="str">
        <f>IF($A134="","",(LOOKUP($A134,'STEP 2-WQv Calculation'!$A$8:$A$37,'STEP 2-WQv Calculation'!$E$8:$E$37)))</f>
        <v/>
      </c>
      <c r="F134" s="42" t="str">
        <f>IF($A134="","",(LOOKUP($A134,'STEP 2-WQv Calculation'!$A$8:$A$37,'STEP 2-WQv Calculation'!$F$8:$F$37)))</f>
        <v/>
      </c>
      <c r="G134" s="18">
        <f>'STEP 2-WQv Calculation'!$B$5</f>
        <v>0</v>
      </c>
      <c r="H134" s="29" t="str">
        <f>IF($A134="","",(LOOKUP($A134,'STEP 2-WQv Calculation'!$A$8:$A$37,'STEP 2-WQv Calculation'!$G$8:$G$37)))</f>
        <v/>
      </c>
    </row>
    <row r="135" spans="1:8" ht="30.25" customHeight="1" x14ac:dyDescent="0.25">
      <c r="A135" s="236" t="s">
        <v>226</v>
      </c>
      <c r="B135" s="237"/>
      <c r="C135" s="237"/>
      <c r="D135" s="237"/>
      <c r="E135" s="237"/>
      <c r="F135" s="237"/>
      <c r="G135" s="237"/>
      <c r="H135" s="238"/>
    </row>
    <row r="136" spans="1:8" ht="15" customHeight="1" x14ac:dyDescent="0.25">
      <c r="A136" s="242" t="s">
        <v>295</v>
      </c>
      <c r="B136" s="243"/>
      <c r="C136" s="244"/>
      <c r="D136" s="44"/>
      <c r="E136" s="322" t="str">
        <f>IF(D136="","",IF(D136&lt;0.5,"Does not meet design criteria",""))</f>
        <v/>
      </c>
      <c r="F136" s="323"/>
      <c r="G136" s="323"/>
      <c r="H136" s="324"/>
    </row>
    <row r="137" spans="1:8" ht="30.25" customHeight="1" x14ac:dyDescent="0.25">
      <c r="A137" s="242" t="s">
        <v>717</v>
      </c>
      <c r="B137" s="243"/>
      <c r="C137" s="244"/>
      <c r="D137" s="211"/>
      <c r="E137" s="322" t="str">
        <f>IF(D137="Yes","Two treatment practices in series required. Refer to Section 6.3.1","")</f>
        <v/>
      </c>
      <c r="F137" s="323"/>
      <c r="G137" s="323"/>
      <c r="H137" s="324"/>
    </row>
    <row r="138" spans="1:8" ht="30.25" customHeight="1" x14ac:dyDescent="0.25">
      <c r="A138" s="242" t="s">
        <v>718</v>
      </c>
      <c r="B138" s="243"/>
      <c r="C138" s="244"/>
      <c r="D138" s="211"/>
      <c r="E138" s="322" t="str">
        <f>IF(D138="","See Section 4.14 of the Design Manual",IF(D138="Yes","Does not meet feasibility criteria",""))</f>
        <v>See Section 4.14 of the Design Manual</v>
      </c>
      <c r="F138" s="323"/>
      <c r="G138" s="323"/>
      <c r="H138" s="324"/>
    </row>
    <row r="139" spans="1:8" ht="15" customHeight="1" x14ac:dyDescent="0.25">
      <c r="A139" s="242" t="s">
        <v>494</v>
      </c>
      <c r="B139" s="243"/>
      <c r="C139" s="244"/>
      <c r="D139" s="158" t="str">
        <f>IF(B134="","",IF(B134&gt;5,"Yes","No"))</f>
        <v/>
      </c>
      <c r="E139" s="322" t="str">
        <f>IF(D139&gt;"Yes","Does not meet design criteria","")</f>
        <v/>
      </c>
      <c r="F139" s="323"/>
      <c r="G139" s="323"/>
      <c r="H139" s="324"/>
    </row>
    <row r="140" spans="1:8" ht="15" customHeight="1" x14ac:dyDescent="0.25">
      <c r="A140" s="242" t="s">
        <v>713</v>
      </c>
      <c r="B140" s="243"/>
      <c r="C140" s="244"/>
      <c r="D140" s="43"/>
      <c r="E140" s="322" t="str">
        <f>IF(D140="","",IF(D140&lt;2,"Does not  meet design criteria",""))</f>
        <v/>
      </c>
      <c r="F140" s="323"/>
      <c r="G140" s="323"/>
      <c r="H140" s="324"/>
    </row>
    <row r="141" spans="1:8" ht="15" customHeight="1" x14ac:dyDescent="0.25">
      <c r="A141" s="242" t="s">
        <v>297</v>
      </c>
      <c r="B141" s="243"/>
      <c r="C141" s="244"/>
      <c r="D141" s="43"/>
      <c r="E141" s="322" t="str">
        <f>IF(D141="","",IF(D141&lt;2,"Does not meet design criteria",""))</f>
        <v/>
      </c>
      <c r="F141" s="323"/>
      <c r="G141" s="323"/>
      <c r="H141" s="324"/>
    </row>
    <row r="142" spans="1:8" ht="15" customHeight="1" x14ac:dyDescent="0.25">
      <c r="A142" s="242" t="s">
        <v>710</v>
      </c>
      <c r="B142" s="243"/>
      <c r="C142" s="244"/>
      <c r="D142" s="211"/>
      <c r="E142" s="322" t="str">
        <f>IF(D142="No","Does not meet design criteria","")</f>
        <v/>
      </c>
      <c r="F142" s="323"/>
      <c r="G142" s="323"/>
      <c r="H142" s="324"/>
    </row>
    <row r="143" spans="1:8" ht="15" customHeight="1" x14ac:dyDescent="0.25">
      <c r="A143" s="242" t="s">
        <v>559</v>
      </c>
      <c r="B143" s="243"/>
      <c r="C143" s="244"/>
      <c r="D143" s="43"/>
      <c r="E143" s="322" t="str">
        <f>IF(D143="","",IF(D143&gt;0.5,"Does not meet design criteria",""))</f>
        <v/>
      </c>
      <c r="F143" s="323"/>
      <c r="G143" s="323"/>
      <c r="H143" s="324"/>
    </row>
    <row r="144" spans="1:8" ht="15" customHeight="1" x14ac:dyDescent="0.25">
      <c r="A144" s="242" t="s">
        <v>378</v>
      </c>
      <c r="B144" s="243"/>
      <c r="C144" s="244"/>
      <c r="D144" s="43"/>
      <c r="E144" s="322" t="str">
        <f>IF(D144="","",IF(D144&lt;3,"Does not meet design criteria",""))</f>
        <v/>
      </c>
      <c r="F144" s="323"/>
      <c r="G144" s="323"/>
      <c r="H144" s="324"/>
    </row>
    <row r="145" spans="1:8" ht="51" customHeight="1" x14ac:dyDescent="0.25">
      <c r="A145" s="242" t="s">
        <v>558</v>
      </c>
      <c r="B145" s="243"/>
      <c r="C145" s="244"/>
      <c r="D145" s="43"/>
      <c r="E145" s="322" t="str">
        <f>IF(D145="","",IF(D145&gt;4,"Does not meet design criteria",IF(D145&lt;2.5,"Does not meet design criteria","")))</f>
        <v/>
      </c>
      <c r="F145" s="323"/>
      <c r="G145" s="323"/>
      <c r="H145" s="324"/>
    </row>
    <row r="146" spans="1:8" x14ac:dyDescent="0.25">
      <c r="A146" s="242" t="s">
        <v>402</v>
      </c>
      <c r="B146" s="243"/>
      <c r="C146" s="244"/>
      <c r="D146" s="43"/>
      <c r="E146" s="322" t="str">
        <f>IF(D146="","",IF(D146&lt;6,"Does not meet design criteria",""))</f>
        <v/>
      </c>
      <c r="F146" s="323"/>
      <c r="G146" s="323"/>
      <c r="H146" s="324"/>
    </row>
    <row r="147" spans="1:8" x14ac:dyDescent="0.25">
      <c r="A147" s="242" t="s">
        <v>520</v>
      </c>
      <c r="B147" s="243"/>
      <c r="C147" s="244"/>
      <c r="D147" s="43"/>
      <c r="E147" s="322" t="str">
        <f>IF(D147&gt;15,"Does not meet design criteria","")</f>
        <v/>
      </c>
      <c r="F147" s="323"/>
      <c r="G147" s="323"/>
      <c r="H147" s="324"/>
    </row>
    <row r="148" spans="1:8" x14ac:dyDescent="0.25">
      <c r="A148" s="242" t="s">
        <v>521</v>
      </c>
      <c r="B148" s="243"/>
      <c r="C148" s="244"/>
      <c r="D148" s="43"/>
      <c r="E148" s="322" t="str">
        <f>IF(D148="","",IF(D148&lt;12,"Does not meet design criteria",""))</f>
        <v/>
      </c>
      <c r="F148" s="323"/>
      <c r="G148" s="323"/>
      <c r="H148" s="324"/>
    </row>
    <row r="149" spans="1:8" ht="13" x14ac:dyDescent="0.25">
      <c r="A149" s="236" t="s">
        <v>232</v>
      </c>
      <c r="B149" s="237"/>
      <c r="C149" s="237"/>
      <c r="D149" s="237"/>
      <c r="E149" s="237"/>
      <c r="F149" s="237"/>
      <c r="G149" s="237"/>
      <c r="H149" s="238"/>
    </row>
    <row r="150" spans="1:8" ht="13" x14ac:dyDescent="0.25">
      <c r="A150" s="35"/>
      <c r="B150" s="36"/>
      <c r="C150" s="36"/>
      <c r="D150" s="37"/>
      <c r="E150" s="302" t="s">
        <v>256</v>
      </c>
      <c r="F150" s="302"/>
      <c r="G150" s="38" t="s">
        <v>257</v>
      </c>
      <c r="H150" s="38" t="s">
        <v>258</v>
      </c>
    </row>
    <row r="151" spans="1:8" x14ac:dyDescent="0.25">
      <c r="A151" s="266" t="s">
        <v>306</v>
      </c>
      <c r="B151" s="267"/>
      <c r="C151" s="268"/>
      <c r="D151" s="198" t="s">
        <v>307</v>
      </c>
      <c r="E151" s="289">
        <v>1</v>
      </c>
      <c r="F151" s="289"/>
      <c r="G151" s="193" t="s">
        <v>308</v>
      </c>
      <c r="H151" s="219" t="str">
        <f>IF(E151&gt;1,"Sizing as Filter","")</f>
        <v/>
      </c>
    </row>
    <row r="152" spans="1:8" x14ac:dyDescent="0.25">
      <c r="A152" s="289" t="s">
        <v>388</v>
      </c>
      <c r="B152" s="289"/>
      <c r="C152" s="289"/>
      <c r="D152" s="198" t="s">
        <v>312</v>
      </c>
      <c r="E152" s="289">
        <v>2</v>
      </c>
      <c r="F152" s="289"/>
      <c r="G152" s="193" t="s">
        <v>313</v>
      </c>
      <c r="H152" s="192"/>
    </row>
    <row r="153" spans="1:8" x14ac:dyDescent="0.25">
      <c r="A153" s="266" t="s">
        <v>381</v>
      </c>
      <c r="B153" s="267"/>
      <c r="C153" s="268"/>
      <c r="D153" s="198" t="s">
        <v>315</v>
      </c>
      <c r="E153" s="308" t="e">
        <f>ROUNDUP((F134*D145)/(E151*(D143+D145)*E152),0)</f>
        <v>#VALUE!</v>
      </c>
      <c r="F153" s="308"/>
      <c r="G153" s="193" t="s">
        <v>316</v>
      </c>
      <c r="H153" s="192"/>
    </row>
    <row r="154" spans="1:8" x14ac:dyDescent="0.25">
      <c r="A154" s="266" t="s">
        <v>382</v>
      </c>
      <c r="B154" s="267"/>
      <c r="C154" s="268"/>
      <c r="D154" s="198" t="s">
        <v>315</v>
      </c>
      <c r="E154" s="336"/>
      <c r="F154" s="336"/>
      <c r="G154" s="193" t="s">
        <v>316</v>
      </c>
      <c r="H154" s="219" t="str">
        <f>IF(E154="","",IF(E154&lt;E153,"Does not meet sizing criteria",""))</f>
        <v/>
      </c>
    </row>
    <row r="155" spans="1:8" ht="13" x14ac:dyDescent="0.25">
      <c r="A155" s="236" t="s">
        <v>276</v>
      </c>
      <c r="B155" s="237"/>
      <c r="C155" s="237"/>
      <c r="D155" s="237"/>
      <c r="E155" s="237"/>
      <c r="F155" s="237"/>
      <c r="G155" s="237"/>
      <c r="H155" s="238"/>
    </row>
    <row r="156" spans="1:8" ht="13" x14ac:dyDescent="0.25">
      <c r="A156" s="335" t="s">
        <v>241</v>
      </c>
      <c r="B156" s="335"/>
      <c r="C156" s="9" t="str">
        <f>IF(A134="","",IF(D138="Yes",0,IF(D136&lt;0.5,0,IF(D139="Yes",0,IF(D140&lt;2,0,IF(D141&lt;2,0,IF(D142="No",0,IF(D143&gt;0.5,0,IF(D144&lt;3,0,IF(D145&lt;2.5,0,IF(D145&gt;4,0,IF(D146&lt;6,0,IF(D147&gt;15,0,IF(D148&lt;12,0,IF(E154&lt;E153,0,F134*1)))))))))))))))</f>
        <v/>
      </c>
      <c r="D156" s="339" t="s">
        <v>2</v>
      </c>
      <c r="E156" s="340"/>
      <c r="F156" s="340"/>
      <c r="G156" s="340"/>
      <c r="H156" s="341"/>
    </row>
    <row r="157" spans="1:8" ht="13" x14ac:dyDescent="0.3">
      <c r="A157" s="24" t="s">
        <v>56</v>
      </c>
      <c r="B157" s="23" t="str">
        <f>IF('STEP 2-WQv Calculation'!$B$4="","",'STEP 2-WQv Calculation'!$B$4)</f>
        <v/>
      </c>
      <c r="C157" s="31"/>
      <c r="D157" s="31"/>
      <c r="E157" s="32"/>
      <c r="F157" s="33"/>
      <c r="G157" s="33"/>
      <c r="H157" s="33"/>
    </row>
    <row r="158" spans="1:8" ht="13" x14ac:dyDescent="0.25">
      <c r="A158" s="331" t="s">
        <v>293</v>
      </c>
      <c r="B158" s="332"/>
      <c r="C158" s="332"/>
      <c r="D158" s="332"/>
      <c r="E158" s="332"/>
      <c r="F158" s="332"/>
      <c r="G158" s="332"/>
      <c r="H158" s="333"/>
    </row>
    <row r="159" spans="1:8" ht="38.5" x14ac:dyDescent="0.25">
      <c r="A159" s="204" t="s">
        <v>60</v>
      </c>
      <c r="B159" s="205" t="s">
        <v>61</v>
      </c>
      <c r="C159" s="205" t="s">
        <v>62</v>
      </c>
      <c r="D159" s="205" t="s">
        <v>63</v>
      </c>
      <c r="E159" s="205" t="s">
        <v>64</v>
      </c>
      <c r="F159" s="205" t="s">
        <v>65</v>
      </c>
      <c r="G159" s="205" t="s">
        <v>244</v>
      </c>
      <c r="H159" s="206" t="s">
        <v>13</v>
      </c>
    </row>
    <row r="160" spans="1:8" x14ac:dyDescent="0.25">
      <c r="A160" s="17"/>
      <c r="B160" s="18" t="str">
        <f>IF($A160="","",(LOOKUP($A160,'STEP 2-WQv Calculation'!$A$8:$A$37,'STEP 2-WQv Calculation'!$B$8:$B$37)))</f>
        <v/>
      </c>
      <c r="C160" s="18" t="str">
        <f>IF($A160="","",(LOOKUP($A160,'STEP 2-WQv Calculation'!$A$8:$A$37,'STEP 2-WQv Calculation'!$C$8:$C$37)))</f>
        <v/>
      </c>
      <c r="D160" s="53" t="str">
        <f>IF($A160="","",(LOOKUP($A160,'STEP 2-WQv Calculation'!$A$8:$A$37,'STEP 2-WQv Calculation'!$D$8:$D$37)))</f>
        <v/>
      </c>
      <c r="E160" s="18" t="str">
        <f>IF($A160="","",(LOOKUP($A160,'STEP 2-WQv Calculation'!$A$8:$A$37,'STEP 2-WQv Calculation'!$E$8:$E$37)))</f>
        <v/>
      </c>
      <c r="F160" s="42" t="str">
        <f>IF($A160="","",(LOOKUP($A160,'STEP 2-WQv Calculation'!$A$8:$A$37,'STEP 2-WQv Calculation'!$F$8:$F$37)))</f>
        <v/>
      </c>
      <c r="G160" s="18">
        <f>'STEP 2-WQv Calculation'!$B$5</f>
        <v>0</v>
      </c>
      <c r="H160" s="29" t="str">
        <f>IF($A160="","",(LOOKUP($A160,'STEP 2-WQv Calculation'!$A$8:$A$37,'STEP 2-WQv Calculation'!$G$8:$G$37)))</f>
        <v/>
      </c>
    </row>
    <row r="161" spans="1:8" ht="13" x14ac:dyDescent="0.25">
      <c r="A161" s="236" t="s">
        <v>226</v>
      </c>
      <c r="B161" s="237"/>
      <c r="C161" s="237"/>
      <c r="D161" s="237"/>
      <c r="E161" s="237"/>
      <c r="F161" s="237"/>
      <c r="G161" s="237"/>
      <c r="H161" s="238"/>
    </row>
    <row r="162" spans="1:8" x14ac:dyDescent="0.25">
      <c r="A162" s="242" t="s">
        <v>295</v>
      </c>
      <c r="B162" s="243"/>
      <c r="C162" s="244"/>
      <c r="D162" s="44"/>
      <c r="E162" s="322" t="str">
        <f>IF(D162="","",IF(D162&lt;0.5,"Does not meet design criteria",""))</f>
        <v/>
      </c>
      <c r="F162" s="323"/>
      <c r="G162" s="323"/>
      <c r="H162" s="324"/>
    </row>
    <row r="163" spans="1:8" x14ac:dyDescent="0.25">
      <c r="A163" s="242" t="s">
        <v>717</v>
      </c>
      <c r="B163" s="243"/>
      <c r="C163" s="244"/>
      <c r="D163" s="211"/>
      <c r="E163" s="322" t="str">
        <f>IF(D163="Yes","Two treatment practices in series required. Refer to Section 6.3.1","")</f>
        <v/>
      </c>
      <c r="F163" s="323"/>
      <c r="G163" s="323"/>
      <c r="H163" s="324"/>
    </row>
    <row r="164" spans="1:8" x14ac:dyDescent="0.25">
      <c r="A164" s="242" t="s">
        <v>718</v>
      </c>
      <c r="B164" s="243"/>
      <c r="C164" s="244"/>
      <c r="D164" s="211"/>
      <c r="E164" s="322" t="str">
        <f>IF(D164="","See Section 4.14 of the Design Manual",IF(D164="Yes","Does not meet feasibility criteria",""))</f>
        <v>See Section 4.14 of the Design Manual</v>
      </c>
      <c r="F164" s="323"/>
      <c r="G164" s="323"/>
      <c r="H164" s="324"/>
    </row>
    <row r="165" spans="1:8" x14ac:dyDescent="0.25">
      <c r="A165" s="242" t="s">
        <v>494</v>
      </c>
      <c r="B165" s="243"/>
      <c r="C165" s="244"/>
      <c r="D165" s="158" t="str">
        <f>IF(B160="","",IF(B160&gt;5,"Yes","No"))</f>
        <v/>
      </c>
      <c r="E165" s="322" t="str">
        <f>IF(D165&gt;"Yes","Does not meet design criteria","")</f>
        <v/>
      </c>
      <c r="F165" s="323"/>
      <c r="G165" s="323"/>
      <c r="H165" s="324"/>
    </row>
    <row r="166" spans="1:8" x14ac:dyDescent="0.25">
      <c r="A166" s="242" t="s">
        <v>713</v>
      </c>
      <c r="B166" s="243"/>
      <c r="C166" s="244"/>
      <c r="D166" s="43"/>
      <c r="E166" s="322" t="str">
        <f>IF(D166="","",IF(D166&lt;2,"Does not  meet design criteria",""))</f>
        <v/>
      </c>
      <c r="F166" s="323"/>
      <c r="G166" s="323"/>
      <c r="H166" s="324"/>
    </row>
    <row r="167" spans="1:8" x14ac:dyDescent="0.25">
      <c r="A167" s="242" t="s">
        <v>297</v>
      </c>
      <c r="B167" s="243"/>
      <c r="C167" s="244"/>
      <c r="D167" s="43"/>
      <c r="E167" s="322" t="str">
        <f>IF(D167="","",IF(D167&lt;2,"Does not meet design criteria",""))</f>
        <v/>
      </c>
      <c r="F167" s="323"/>
      <c r="G167" s="323"/>
      <c r="H167" s="324"/>
    </row>
    <row r="168" spans="1:8" x14ac:dyDescent="0.25">
      <c r="A168" s="242" t="s">
        <v>710</v>
      </c>
      <c r="B168" s="243"/>
      <c r="C168" s="244"/>
      <c r="D168" s="211"/>
      <c r="E168" s="322" t="str">
        <f>IF(D168="No","Does not meet design criteria","")</f>
        <v/>
      </c>
      <c r="F168" s="323"/>
      <c r="G168" s="323"/>
      <c r="H168" s="324"/>
    </row>
    <row r="169" spans="1:8" x14ac:dyDescent="0.25">
      <c r="A169" s="242" t="s">
        <v>559</v>
      </c>
      <c r="B169" s="243"/>
      <c r="C169" s="244"/>
      <c r="D169" s="43"/>
      <c r="E169" s="322" t="str">
        <f>IF(D169="","",IF(D169&gt;0.5,"Does not meet design criteria",""))</f>
        <v/>
      </c>
      <c r="F169" s="323"/>
      <c r="G169" s="323"/>
      <c r="H169" s="324"/>
    </row>
    <row r="170" spans="1:8" x14ac:dyDescent="0.25">
      <c r="A170" s="242" t="s">
        <v>378</v>
      </c>
      <c r="B170" s="243"/>
      <c r="C170" s="244"/>
      <c r="D170" s="43"/>
      <c r="E170" s="322" t="str">
        <f>IF(D170="","",IF(D170&lt;3,"Does not meet design criteria",""))</f>
        <v/>
      </c>
      <c r="F170" s="323"/>
      <c r="G170" s="323"/>
      <c r="H170" s="324"/>
    </row>
    <row r="171" spans="1:8" x14ac:dyDescent="0.25">
      <c r="A171" s="242" t="s">
        <v>558</v>
      </c>
      <c r="B171" s="243"/>
      <c r="C171" s="244"/>
      <c r="D171" s="43"/>
      <c r="E171" s="322" t="str">
        <f>IF(D171="","",IF(D171&gt;4,"Does not meet design criteria",IF(D171&lt;2.5,"Does not meet design criteria","")))</f>
        <v/>
      </c>
      <c r="F171" s="323"/>
      <c r="G171" s="323"/>
      <c r="H171" s="324"/>
    </row>
    <row r="172" spans="1:8" x14ac:dyDescent="0.25">
      <c r="A172" s="242" t="s">
        <v>402</v>
      </c>
      <c r="B172" s="243"/>
      <c r="C172" s="244"/>
      <c r="D172" s="43"/>
      <c r="E172" s="322" t="str">
        <f>IF(D172="","",IF(D172&lt;6,"Does not meet design criteria",""))</f>
        <v/>
      </c>
      <c r="F172" s="323"/>
      <c r="G172" s="323"/>
      <c r="H172" s="324"/>
    </row>
    <row r="173" spans="1:8" x14ac:dyDescent="0.25">
      <c r="A173" s="242" t="s">
        <v>520</v>
      </c>
      <c r="B173" s="243"/>
      <c r="C173" s="244"/>
      <c r="D173" s="43"/>
      <c r="E173" s="322" t="str">
        <f>IF(D173&gt;15,"Does not meet design criteria","")</f>
        <v/>
      </c>
      <c r="F173" s="323"/>
      <c r="G173" s="323"/>
      <c r="H173" s="324"/>
    </row>
    <row r="174" spans="1:8" x14ac:dyDescent="0.25">
      <c r="A174" s="242" t="s">
        <v>521</v>
      </c>
      <c r="B174" s="243"/>
      <c r="C174" s="244"/>
      <c r="D174" s="43"/>
      <c r="E174" s="322" t="str">
        <f>IF(D174="","",IF(D174&lt;12,"Does not meet design criteria",""))</f>
        <v/>
      </c>
      <c r="F174" s="323"/>
      <c r="G174" s="323"/>
      <c r="H174" s="324"/>
    </row>
    <row r="175" spans="1:8" ht="13" x14ac:dyDescent="0.25">
      <c r="A175" s="236" t="s">
        <v>232</v>
      </c>
      <c r="B175" s="237"/>
      <c r="C175" s="237"/>
      <c r="D175" s="237"/>
      <c r="E175" s="237"/>
      <c r="F175" s="237"/>
      <c r="G175" s="237"/>
      <c r="H175" s="238"/>
    </row>
    <row r="176" spans="1:8" ht="13" x14ac:dyDescent="0.25">
      <c r="A176" s="35"/>
      <c r="B176" s="36"/>
      <c r="C176" s="36"/>
      <c r="D176" s="37"/>
      <c r="E176" s="302" t="s">
        <v>256</v>
      </c>
      <c r="F176" s="302"/>
      <c r="G176" s="38" t="s">
        <v>257</v>
      </c>
      <c r="H176" s="38" t="s">
        <v>258</v>
      </c>
    </row>
    <row r="177" spans="1:8" x14ac:dyDescent="0.25">
      <c r="A177" s="266" t="s">
        <v>306</v>
      </c>
      <c r="B177" s="267"/>
      <c r="C177" s="268"/>
      <c r="D177" s="198" t="s">
        <v>307</v>
      </c>
      <c r="E177" s="289">
        <v>1</v>
      </c>
      <c r="F177" s="289"/>
      <c r="G177" s="193" t="s">
        <v>308</v>
      </c>
      <c r="H177" s="219" t="str">
        <f>IF(E177&gt;1,"Sizing as Filter","")</f>
        <v/>
      </c>
    </row>
    <row r="178" spans="1:8" x14ac:dyDescent="0.25">
      <c r="A178" s="289" t="s">
        <v>388</v>
      </c>
      <c r="B178" s="289"/>
      <c r="C178" s="289"/>
      <c r="D178" s="198" t="s">
        <v>312</v>
      </c>
      <c r="E178" s="289">
        <v>2</v>
      </c>
      <c r="F178" s="289"/>
      <c r="G178" s="193" t="s">
        <v>313</v>
      </c>
      <c r="H178" s="192"/>
    </row>
    <row r="179" spans="1:8" x14ac:dyDescent="0.25">
      <c r="A179" s="266" t="s">
        <v>381</v>
      </c>
      <c r="B179" s="267"/>
      <c r="C179" s="268"/>
      <c r="D179" s="198" t="s">
        <v>315</v>
      </c>
      <c r="E179" s="308" t="e">
        <f>ROUNDUP((F160*D171)/(E177*(D169+D171)*E178),0)</f>
        <v>#VALUE!</v>
      </c>
      <c r="F179" s="308"/>
      <c r="G179" s="193" t="s">
        <v>316</v>
      </c>
      <c r="H179" s="192"/>
    </row>
    <row r="180" spans="1:8" x14ac:dyDescent="0.25">
      <c r="A180" s="266" t="s">
        <v>382</v>
      </c>
      <c r="B180" s="267"/>
      <c r="C180" s="268"/>
      <c r="D180" s="198" t="s">
        <v>315</v>
      </c>
      <c r="E180" s="336"/>
      <c r="F180" s="336"/>
      <c r="G180" s="193" t="s">
        <v>316</v>
      </c>
      <c r="H180" s="219" t="str">
        <f>IF(E180="","",IF(E180&lt;E179,"Does not meet sizing criteria",""))</f>
        <v/>
      </c>
    </row>
    <row r="181" spans="1:8" ht="13" x14ac:dyDescent="0.25">
      <c r="A181" s="236" t="s">
        <v>276</v>
      </c>
      <c r="B181" s="237"/>
      <c r="C181" s="237"/>
      <c r="D181" s="237"/>
      <c r="E181" s="237"/>
      <c r="F181" s="237"/>
      <c r="G181" s="237"/>
      <c r="H181" s="238"/>
    </row>
    <row r="182" spans="1:8" ht="13" x14ac:dyDescent="0.25">
      <c r="A182" s="335" t="s">
        <v>241</v>
      </c>
      <c r="B182" s="335"/>
      <c r="C182" s="9" t="str">
        <f>IF(A160="","",IF(D164="Yes",0,IF(D162&lt;0.5,0,IF(D165="Yes",0,IF(D166&lt;2,0,IF(D167&lt;2,0,IF(D168="No",0,IF(D169&gt;0.5,0,IF(D170&lt;3,0,IF(D171&lt;2.5,0,IF(D171&gt;4,0,IF(D172&lt;6,0,IF(D173&gt;15,0,IF(D174&lt;12,0,IF(E180&lt;E179,0,F160*1)))))))))))))))</f>
        <v/>
      </c>
      <c r="D182" s="339" t="s">
        <v>2</v>
      </c>
      <c r="E182" s="340"/>
      <c r="F182" s="340"/>
      <c r="G182" s="340"/>
      <c r="H182" s="341"/>
    </row>
    <row r="183" spans="1:8" ht="13" x14ac:dyDescent="0.3">
      <c r="A183" s="24" t="s">
        <v>56</v>
      </c>
      <c r="B183" s="23" t="str">
        <f>IF('STEP 2-WQv Calculation'!$B$4="","",'STEP 2-WQv Calculation'!$B$4)</f>
        <v/>
      </c>
      <c r="C183" s="31"/>
      <c r="D183" s="31"/>
      <c r="E183" s="32"/>
      <c r="F183" s="33"/>
      <c r="G183" s="33"/>
      <c r="H183" s="33"/>
    </row>
    <row r="184" spans="1:8" ht="13" x14ac:dyDescent="0.25">
      <c r="A184" s="331" t="s">
        <v>293</v>
      </c>
      <c r="B184" s="332"/>
      <c r="C184" s="332"/>
      <c r="D184" s="332"/>
      <c r="E184" s="332"/>
      <c r="F184" s="332"/>
      <c r="G184" s="332"/>
      <c r="H184" s="333"/>
    </row>
    <row r="185" spans="1:8" ht="38.5" x14ac:dyDescent="0.25">
      <c r="A185" s="204" t="s">
        <v>60</v>
      </c>
      <c r="B185" s="205" t="s">
        <v>61</v>
      </c>
      <c r="C185" s="205" t="s">
        <v>62</v>
      </c>
      <c r="D185" s="205" t="s">
        <v>63</v>
      </c>
      <c r="E185" s="205" t="s">
        <v>64</v>
      </c>
      <c r="F185" s="205" t="s">
        <v>65</v>
      </c>
      <c r="G185" s="205" t="s">
        <v>244</v>
      </c>
      <c r="H185" s="206" t="s">
        <v>13</v>
      </c>
    </row>
    <row r="186" spans="1:8" x14ac:dyDescent="0.25">
      <c r="A186" s="17"/>
      <c r="B186" s="18" t="str">
        <f>IF($A186="","",(LOOKUP($A186,'STEP 2-WQv Calculation'!$A$8:$A$37,'STEP 2-WQv Calculation'!$B$8:$B$37)))</f>
        <v/>
      </c>
      <c r="C186" s="18" t="str">
        <f>IF($A186="","",(LOOKUP($A186,'STEP 2-WQv Calculation'!$A$8:$A$37,'STEP 2-WQv Calculation'!$C$8:$C$37)))</f>
        <v/>
      </c>
      <c r="D186" s="53" t="str">
        <f>IF($A186="","",(LOOKUP($A186,'STEP 2-WQv Calculation'!$A$8:$A$37,'STEP 2-WQv Calculation'!$D$8:$D$37)))</f>
        <v/>
      </c>
      <c r="E186" s="18" t="str">
        <f>IF($A186="","",(LOOKUP($A186,'STEP 2-WQv Calculation'!$A$8:$A$37,'STEP 2-WQv Calculation'!$E$8:$E$37)))</f>
        <v/>
      </c>
      <c r="F186" s="42" t="str">
        <f>IF($A186="","",(LOOKUP($A186,'STEP 2-WQv Calculation'!$A$8:$A$37,'STEP 2-WQv Calculation'!$F$8:$F$37)))</f>
        <v/>
      </c>
      <c r="G186" s="18">
        <f>'STEP 2-WQv Calculation'!$B$5</f>
        <v>0</v>
      </c>
      <c r="H186" s="29" t="str">
        <f>IF($A186="","",(LOOKUP($A186,'STEP 2-WQv Calculation'!$A$8:$A$37,'STEP 2-WQv Calculation'!$G$8:$G$37)))</f>
        <v/>
      </c>
    </row>
    <row r="187" spans="1:8" ht="13" x14ac:dyDescent="0.25">
      <c r="A187" s="236" t="s">
        <v>226</v>
      </c>
      <c r="B187" s="237"/>
      <c r="C187" s="237"/>
      <c r="D187" s="237"/>
      <c r="E187" s="237"/>
      <c r="F187" s="237"/>
      <c r="G187" s="237"/>
      <c r="H187" s="238"/>
    </row>
    <row r="188" spans="1:8" x14ac:dyDescent="0.25">
      <c r="A188" s="242" t="s">
        <v>295</v>
      </c>
      <c r="B188" s="243"/>
      <c r="C188" s="244"/>
      <c r="D188" s="44"/>
      <c r="E188" s="322" t="str">
        <f>IF(D188="","",IF(D188&lt;0.5,"Does not meet design criteria",""))</f>
        <v/>
      </c>
      <c r="F188" s="323"/>
      <c r="G188" s="323"/>
      <c r="H188" s="324"/>
    </row>
    <row r="189" spans="1:8" x14ac:dyDescent="0.25">
      <c r="A189" s="242" t="s">
        <v>717</v>
      </c>
      <c r="B189" s="243"/>
      <c r="C189" s="244"/>
      <c r="D189" s="211"/>
      <c r="E189" s="322" t="str">
        <f>IF(D189="Yes","Two treatment practices in series required. Refer to Section 6.3.1","")</f>
        <v/>
      </c>
      <c r="F189" s="323"/>
      <c r="G189" s="323"/>
      <c r="H189" s="324"/>
    </row>
    <row r="190" spans="1:8" x14ac:dyDescent="0.25">
      <c r="A190" s="242" t="s">
        <v>718</v>
      </c>
      <c r="B190" s="243"/>
      <c r="C190" s="244"/>
      <c r="D190" s="211"/>
      <c r="E190" s="322" t="str">
        <f>IF(D190="","See Section 4.14 of the Design Manual",IF(D190="Yes","Does not meet feasibility criteria",""))</f>
        <v>See Section 4.14 of the Design Manual</v>
      </c>
      <c r="F190" s="323"/>
      <c r="G190" s="323"/>
      <c r="H190" s="324"/>
    </row>
    <row r="191" spans="1:8" x14ac:dyDescent="0.25">
      <c r="A191" s="242" t="s">
        <v>494</v>
      </c>
      <c r="B191" s="243"/>
      <c r="C191" s="244"/>
      <c r="D191" s="158" t="str">
        <f>IF(B186="","",IF(B186&gt;5,"Yes","No"))</f>
        <v/>
      </c>
      <c r="E191" s="322" t="str">
        <f>IF(D191&gt;"Yes","Does not meet design criteria","")</f>
        <v/>
      </c>
      <c r="F191" s="323"/>
      <c r="G191" s="323"/>
      <c r="H191" s="324"/>
    </row>
    <row r="192" spans="1:8" x14ac:dyDescent="0.25">
      <c r="A192" s="242" t="s">
        <v>713</v>
      </c>
      <c r="B192" s="243"/>
      <c r="C192" s="244"/>
      <c r="D192" s="43"/>
      <c r="E192" s="322" t="str">
        <f>IF(D192="","",IF(D192&lt;2,"Does not  meet design criteria",""))</f>
        <v/>
      </c>
      <c r="F192" s="323"/>
      <c r="G192" s="323"/>
      <c r="H192" s="324"/>
    </row>
    <row r="193" spans="1:8" x14ac:dyDescent="0.25">
      <c r="A193" s="242" t="s">
        <v>297</v>
      </c>
      <c r="B193" s="243"/>
      <c r="C193" s="244"/>
      <c r="D193" s="43"/>
      <c r="E193" s="322" t="str">
        <f>IF(D193="","",IF(D193&lt;2,"Does not meet design criteria",""))</f>
        <v/>
      </c>
      <c r="F193" s="323"/>
      <c r="G193" s="323"/>
      <c r="H193" s="324"/>
    </row>
    <row r="194" spans="1:8" x14ac:dyDescent="0.25">
      <c r="A194" s="242" t="s">
        <v>710</v>
      </c>
      <c r="B194" s="243"/>
      <c r="C194" s="244"/>
      <c r="D194" s="211"/>
      <c r="E194" s="322" t="str">
        <f>IF(D194="No","Does not meet design criteria","")</f>
        <v/>
      </c>
      <c r="F194" s="323"/>
      <c r="G194" s="323"/>
      <c r="H194" s="324"/>
    </row>
    <row r="195" spans="1:8" x14ac:dyDescent="0.25">
      <c r="A195" s="242" t="s">
        <v>559</v>
      </c>
      <c r="B195" s="243"/>
      <c r="C195" s="244"/>
      <c r="D195" s="43"/>
      <c r="E195" s="322" t="str">
        <f>IF(D195="","",IF(D195&gt;0.5,"Does not meet design criteria",""))</f>
        <v/>
      </c>
      <c r="F195" s="323"/>
      <c r="G195" s="323"/>
      <c r="H195" s="324"/>
    </row>
    <row r="196" spans="1:8" x14ac:dyDescent="0.25">
      <c r="A196" s="242" t="s">
        <v>378</v>
      </c>
      <c r="B196" s="243"/>
      <c r="C196" s="244"/>
      <c r="D196" s="43"/>
      <c r="E196" s="322" t="str">
        <f>IF(D196="","",IF(D196&lt;3,"Does not meet design criteria",""))</f>
        <v/>
      </c>
      <c r="F196" s="323"/>
      <c r="G196" s="323"/>
      <c r="H196" s="324"/>
    </row>
    <row r="197" spans="1:8" x14ac:dyDescent="0.25">
      <c r="A197" s="242" t="s">
        <v>558</v>
      </c>
      <c r="B197" s="243"/>
      <c r="C197" s="244"/>
      <c r="D197" s="43"/>
      <c r="E197" s="322" t="str">
        <f>IF(D197="","",IF(D197&gt;4,"Does not meet design criteria",IF(D197&lt;2.5,"Does not meet design criteria","")))</f>
        <v/>
      </c>
      <c r="F197" s="323"/>
      <c r="G197" s="323"/>
      <c r="H197" s="324"/>
    </row>
    <row r="198" spans="1:8" x14ac:dyDescent="0.25">
      <c r="A198" s="242" t="s">
        <v>402</v>
      </c>
      <c r="B198" s="243"/>
      <c r="C198" s="244"/>
      <c r="D198" s="43"/>
      <c r="E198" s="322" t="str">
        <f>IF(D198="","",IF(D198&lt;6,"Does not meet design criteria",""))</f>
        <v/>
      </c>
      <c r="F198" s="323"/>
      <c r="G198" s="323"/>
      <c r="H198" s="324"/>
    </row>
    <row r="199" spans="1:8" x14ac:dyDescent="0.25">
      <c r="A199" s="242" t="s">
        <v>520</v>
      </c>
      <c r="B199" s="243"/>
      <c r="C199" s="244"/>
      <c r="D199" s="43"/>
      <c r="E199" s="322" t="str">
        <f>IF(D199&gt;15,"Does not meet design criteria","")</f>
        <v/>
      </c>
      <c r="F199" s="323"/>
      <c r="G199" s="323"/>
      <c r="H199" s="324"/>
    </row>
    <row r="200" spans="1:8" x14ac:dyDescent="0.25">
      <c r="A200" s="242" t="s">
        <v>521</v>
      </c>
      <c r="B200" s="243"/>
      <c r="C200" s="244"/>
      <c r="D200" s="43"/>
      <c r="E200" s="322" t="str">
        <f>IF(D200="","",IF(D200&lt;12,"Does not meet design criteria",""))</f>
        <v/>
      </c>
      <c r="F200" s="323"/>
      <c r="G200" s="323"/>
      <c r="H200" s="324"/>
    </row>
    <row r="201" spans="1:8" ht="13" x14ac:dyDescent="0.25">
      <c r="A201" s="236" t="s">
        <v>232</v>
      </c>
      <c r="B201" s="237"/>
      <c r="C201" s="237"/>
      <c r="D201" s="237"/>
      <c r="E201" s="237"/>
      <c r="F201" s="237"/>
      <c r="G201" s="237"/>
      <c r="H201" s="238"/>
    </row>
    <row r="202" spans="1:8" ht="13" x14ac:dyDescent="0.25">
      <c r="A202" s="35"/>
      <c r="B202" s="36"/>
      <c r="C202" s="36"/>
      <c r="D202" s="37"/>
      <c r="E202" s="302" t="s">
        <v>256</v>
      </c>
      <c r="F202" s="302"/>
      <c r="G202" s="38" t="s">
        <v>257</v>
      </c>
      <c r="H202" s="38" t="s">
        <v>258</v>
      </c>
    </row>
    <row r="203" spans="1:8" x14ac:dyDescent="0.25">
      <c r="A203" s="266" t="s">
        <v>306</v>
      </c>
      <c r="B203" s="267"/>
      <c r="C203" s="268"/>
      <c r="D203" s="198" t="s">
        <v>307</v>
      </c>
      <c r="E203" s="289">
        <v>1</v>
      </c>
      <c r="F203" s="289"/>
      <c r="G203" s="193" t="s">
        <v>308</v>
      </c>
      <c r="H203" s="219" t="str">
        <f>IF(E203&gt;1,"Sizing as Filter","")</f>
        <v/>
      </c>
    </row>
    <row r="204" spans="1:8" x14ac:dyDescent="0.25">
      <c r="A204" s="289" t="s">
        <v>388</v>
      </c>
      <c r="B204" s="289"/>
      <c r="C204" s="289"/>
      <c r="D204" s="198" t="s">
        <v>312</v>
      </c>
      <c r="E204" s="289">
        <v>2</v>
      </c>
      <c r="F204" s="289"/>
      <c r="G204" s="193" t="s">
        <v>313</v>
      </c>
      <c r="H204" s="192"/>
    </row>
    <row r="205" spans="1:8" x14ac:dyDescent="0.25">
      <c r="A205" s="266" t="s">
        <v>381</v>
      </c>
      <c r="B205" s="267"/>
      <c r="C205" s="268"/>
      <c r="D205" s="198" t="s">
        <v>315</v>
      </c>
      <c r="E205" s="308" t="e">
        <f>ROUNDUP((F186*D197)/(E203*(D195+D197)*E204),0)</f>
        <v>#VALUE!</v>
      </c>
      <c r="F205" s="308"/>
      <c r="G205" s="193" t="s">
        <v>316</v>
      </c>
      <c r="H205" s="192"/>
    </row>
    <row r="206" spans="1:8" x14ac:dyDescent="0.25">
      <c r="A206" s="266" t="s">
        <v>382</v>
      </c>
      <c r="B206" s="267"/>
      <c r="C206" s="268"/>
      <c r="D206" s="198" t="s">
        <v>315</v>
      </c>
      <c r="E206" s="336"/>
      <c r="F206" s="336"/>
      <c r="G206" s="193" t="s">
        <v>316</v>
      </c>
      <c r="H206" s="219" t="str">
        <f>IF(E206="","",IF(E206&lt;E205,"Does not meet sizing criteria",""))</f>
        <v/>
      </c>
    </row>
    <row r="207" spans="1:8" ht="13" x14ac:dyDescent="0.25">
      <c r="A207" s="236" t="s">
        <v>276</v>
      </c>
      <c r="B207" s="237"/>
      <c r="C207" s="237"/>
      <c r="D207" s="237"/>
      <c r="E207" s="237"/>
      <c r="F207" s="237"/>
      <c r="G207" s="237"/>
      <c r="H207" s="238"/>
    </row>
    <row r="208" spans="1:8" ht="13" x14ac:dyDescent="0.25">
      <c r="A208" s="335" t="s">
        <v>241</v>
      </c>
      <c r="B208" s="335"/>
      <c r="C208" s="9" t="str">
        <f>IF(A186="","",IF(D190="Yes",0,IF(D188&lt;0.5,0,IF(D191="Yes",0,IF(D192&lt;2,0,IF(D193&lt;2,0,IF(D194="No",0,IF(D195&gt;0.5,0,IF(D196&lt;3,0,IF(D197&lt;2.5,0,IF(D197&gt;4,0,IF(D198&lt;6,0,IF(D199&gt;15,0,IF(D200&lt;12,0,IF(E206&lt;E205,0,F186*1)))))))))))))))</f>
        <v/>
      </c>
      <c r="D208" s="339" t="s">
        <v>2</v>
      </c>
      <c r="E208" s="340"/>
      <c r="F208" s="340"/>
      <c r="G208" s="340"/>
      <c r="H208" s="341"/>
    </row>
    <row r="209" spans="1:8" ht="13" x14ac:dyDescent="0.3">
      <c r="A209" s="24" t="s">
        <v>56</v>
      </c>
      <c r="B209" s="23" t="str">
        <f>IF('STEP 2-WQv Calculation'!$B$4="","",'STEP 2-WQv Calculation'!$B$4)</f>
        <v/>
      </c>
      <c r="C209" s="31"/>
      <c r="D209" s="31"/>
      <c r="E209" s="32"/>
      <c r="F209" s="33"/>
      <c r="G209" s="33"/>
      <c r="H209" s="33"/>
    </row>
    <row r="210" spans="1:8" ht="13" x14ac:dyDescent="0.25">
      <c r="A210" s="331" t="s">
        <v>293</v>
      </c>
      <c r="B210" s="332"/>
      <c r="C210" s="332"/>
      <c r="D210" s="332"/>
      <c r="E210" s="332"/>
      <c r="F210" s="332"/>
      <c r="G210" s="332"/>
      <c r="H210" s="333"/>
    </row>
    <row r="211" spans="1:8" ht="38.5" x14ac:dyDescent="0.25">
      <c r="A211" s="204" t="s">
        <v>60</v>
      </c>
      <c r="B211" s="205" t="s">
        <v>61</v>
      </c>
      <c r="C211" s="205" t="s">
        <v>62</v>
      </c>
      <c r="D211" s="205" t="s">
        <v>63</v>
      </c>
      <c r="E211" s="205" t="s">
        <v>64</v>
      </c>
      <c r="F211" s="205" t="s">
        <v>65</v>
      </c>
      <c r="G211" s="205" t="s">
        <v>244</v>
      </c>
      <c r="H211" s="206" t="s">
        <v>13</v>
      </c>
    </row>
    <row r="212" spans="1:8" x14ac:dyDescent="0.25">
      <c r="A212" s="17"/>
      <c r="B212" s="18" t="str">
        <f>IF($A212="","",(LOOKUP($A212,'STEP 2-WQv Calculation'!$A$8:$A$37,'STEP 2-WQv Calculation'!$B$8:$B$37)))</f>
        <v/>
      </c>
      <c r="C212" s="18" t="str">
        <f>IF($A212="","",(LOOKUP($A212,'STEP 2-WQv Calculation'!$A$8:$A$37,'STEP 2-WQv Calculation'!$C$8:$C$37)))</f>
        <v/>
      </c>
      <c r="D212" s="53" t="str">
        <f>IF($A212="","",(LOOKUP($A212,'STEP 2-WQv Calculation'!$A$8:$A$37,'STEP 2-WQv Calculation'!$D$8:$D$37)))</f>
        <v/>
      </c>
      <c r="E212" s="18" t="str">
        <f>IF($A212="","",(LOOKUP($A212,'STEP 2-WQv Calculation'!$A$8:$A$37,'STEP 2-WQv Calculation'!$E$8:$E$37)))</f>
        <v/>
      </c>
      <c r="F212" s="42" t="str">
        <f>IF($A212="","",(LOOKUP($A212,'STEP 2-WQv Calculation'!$A$8:$A$37,'STEP 2-WQv Calculation'!$F$8:$F$37)))</f>
        <v/>
      </c>
      <c r="G212" s="18">
        <f>'STEP 2-WQv Calculation'!$B$5</f>
        <v>0</v>
      </c>
      <c r="H212" s="29" t="str">
        <f>IF($A212="","",(LOOKUP($A212,'STEP 2-WQv Calculation'!$A$8:$A$37,'STEP 2-WQv Calculation'!$G$8:$G$37)))</f>
        <v/>
      </c>
    </row>
    <row r="213" spans="1:8" ht="13" x14ac:dyDescent="0.25">
      <c r="A213" s="236" t="s">
        <v>226</v>
      </c>
      <c r="B213" s="237"/>
      <c r="C213" s="237"/>
      <c r="D213" s="237"/>
      <c r="E213" s="237"/>
      <c r="F213" s="237"/>
      <c r="G213" s="237"/>
      <c r="H213" s="238"/>
    </row>
    <row r="214" spans="1:8" x14ac:dyDescent="0.25">
      <c r="A214" s="242" t="s">
        <v>295</v>
      </c>
      <c r="B214" s="243"/>
      <c r="C214" s="244"/>
      <c r="D214" s="44"/>
      <c r="E214" s="322" t="str">
        <f>IF(D214="","",IF(D214&lt;0.5,"Does not meet design criteria",""))</f>
        <v/>
      </c>
      <c r="F214" s="323"/>
      <c r="G214" s="323"/>
      <c r="H214" s="324"/>
    </row>
    <row r="215" spans="1:8" x14ac:dyDescent="0.25">
      <c r="A215" s="242" t="s">
        <v>717</v>
      </c>
      <c r="B215" s="243"/>
      <c r="C215" s="244"/>
      <c r="D215" s="211"/>
      <c r="E215" s="322" t="str">
        <f>IF(D215="Yes","Two treatment practices in series required. Refer to Section 6.3.1","")</f>
        <v/>
      </c>
      <c r="F215" s="323"/>
      <c r="G215" s="323"/>
      <c r="H215" s="324"/>
    </row>
    <row r="216" spans="1:8" x14ac:dyDescent="0.25">
      <c r="A216" s="242" t="s">
        <v>718</v>
      </c>
      <c r="B216" s="243"/>
      <c r="C216" s="244"/>
      <c r="D216" s="211"/>
      <c r="E216" s="322" t="str">
        <f>IF(D216="","See Section 4.14 of the Design Manual",IF(D216="Yes","Does not meet feasibility criteria",""))</f>
        <v>See Section 4.14 of the Design Manual</v>
      </c>
      <c r="F216" s="323"/>
      <c r="G216" s="323"/>
      <c r="H216" s="324"/>
    </row>
    <row r="217" spans="1:8" x14ac:dyDescent="0.25">
      <c r="A217" s="242" t="s">
        <v>494</v>
      </c>
      <c r="B217" s="243"/>
      <c r="C217" s="244"/>
      <c r="D217" s="158" t="str">
        <f>IF(B212="","",IF(B212&gt;5,"Yes","No"))</f>
        <v/>
      </c>
      <c r="E217" s="322" t="str">
        <f>IF(D217&gt;"Yes","Does not meet design criteria","")</f>
        <v/>
      </c>
      <c r="F217" s="323"/>
      <c r="G217" s="323"/>
      <c r="H217" s="324"/>
    </row>
    <row r="218" spans="1:8" x14ac:dyDescent="0.25">
      <c r="A218" s="242" t="s">
        <v>713</v>
      </c>
      <c r="B218" s="243"/>
      <c r="C218" s="244"/>
      <c r="D218" s="43"/>
      <c r="E218" s="322" t="str">
        <f>IF(D218="","",IF(D218&lt;2,"Does not  meet design criteria",""))</f>
        <v/>
      </c>
      <c r="F218" s="323"/>
      <c r="G218" s="323"/>
      <c r="H218" s="324"/>
    </row>
    <row r="219" spans="1:8" x14ac:dyDescent="0.25">
      <c r="A219" s="242" t="s">
        <v>297</v>
      </c>
      <c r="B219" s="243"/>
      <c r="C219" s="244"/>
      <c r="D219" s="43"/>
      <c r="E219" s="322" t="str">
        <f>IF(D219="","",IF(D219&lt;2,"Does not meet design criteria",""))</f>
        <v/>
      </c>
      <c r="F219" s="323"/>
      <c r="G219" s="323"/>
      <c r="H219" s="324"/>
    </row>
    <row r="220" spans="1:8" x14ac:dyDescent="0.25">
      <c r="A220" s="242" t="s">
        <v>710</v>
      </c>
      <c r="B220" s="243"/>
      <c r="C220" s="244"/>
      <c r="D220" s="211"/>
      <c r="E220" s="322" t="str">
        <f>IF(D220="No","Does not meet design criteria","")</f>
        <v/>
      </c>
      <c r="F220" s="323"/>
      <c r="G220" s="323"/>
      <c r="H220" s="324"/>
    </row>
    <row r="221" spans="1:8" x14ac:dyDescent="0.25">
      <c r="A221" s="242" t="s">
        <v>559</v>
      </c>
      <c r="B221" s="243"/>
      <c r="C221" s="244"/>
      <c r="D221" s="43"/>
      <c r="E221" s="322" t="str">
        <f>IF(D221="","",IF(D221&gt;0.5,"Does not meet design criteria",""))</f>
        <v/>
      </c>
      <c r="F221" s="323"/>
      <c r="G221" s="323"/>
      <c r="H221" s="324"/>
    </row>
    <row r="222" spans="1:8" x14ac:dyDescent="0.25">
      <c r="A222" s="242" t="s">
        <v>378</v>
      </c>
      <c r="B222" s="243"/>
      <c r="C222" s="244"/>
      <c r="D222" s="43"/>
      <c r="E222" s="322" t="str">
        <f>IF(D222="","",IF(D222&lt;3,"Does not meet design criteria",""))</f>
        <v/>
      </c>
      <c r="F222" s="323"/>
      <c r="G222" s="323"/>
      <c r="H222" s="324"/>
    </row>
    <row r="223" spans="1:8" x14ac:dyDescent="0.25">
      <c r="A223" s="242" t="s">
        <v>558</v>
      </c>
      <c r="B223" s="243"/>
      <c r="C223" s="244"/>
      <c r="D223" s="43"/>
      <c r="E223" s="322" t="str">
        <f>IF(D223="","",IF(D223&gt;4,"Does not meet design criteria",IF(D223&lt;2.5,"Does not meet design criteria","")))</f>
        <v/>
      </c>
      <c r="F223" s="323"/>
      <c r="G223" s="323"/>
      <c r="H223" s="324"/>
    </row>
    <row r="224" spans="1:8" x14ac:dyDescent="0.25">
      <c r="A224" s="242" t="s">
        <v>402</v>
      </c>
      <c r="B224" s="243"/>
      <c r="C224" s="244"/>
      <c r="D224" s="43"/>
      <c r="E224" s="322" t="str">
        <f>IF(D224="","",IF(D224&lt;6,"Does not meet design criteria",""))</f>
        <v/>
      </c>
      <c r="F224" s="323"/>
      <c r="G224" s="323"/>
      <c r="H224" s="324"/>
    </row>
    <row r="225" spans="1:8" x14ac:dyDescent="0.25">
      <c r="A225" s="242" t="s">
        <v>520</v>
      </c>
      <c r="B225" s="243"/>
      <c r="C225" s="244"/>
      <c r="D225" s="43"/>
      <c r="E225" s="322" t="str">
        <f>IF(D225&gt;15,"Does not meet design criteria","")</f>
        <v/>
      </c>
      <c r="F225" s="323"/>
      <c r="G225" s="323"/>
      <c r="H225" s="324"/>
    </row>
    <row r="226" spans="1:8" x14ac:dyDescent="0.25">
      <c r="A226" s="242" t="s">
        <v>521</v>
      </c>
      <c r="B226" s="243"/>
      <c r="C226" s="244"/>
      <c r="D226" s="43"/>
      <c r="E226" s="322" t="str">
        <f>IF(D226="","",IF(D226&lt;12,"Does not meet design criteria",""))</f>
        <v/>
      </c>
      <c r="F226" s="323"/>
      <c r="G226" s="323"/>
      <c r="H226" s="324"/>
    </row>
    <row r="227" spans="1:8" ht="13" x14ac:dyDescent="0.25">
      <c r="A227" s="236" t="s">
        <v>232</v>
      </c>
      <c r="B227" s="237"/>
      <c r="C227" s="237"/>
      <c r="D227" s="237"/>
      <c r="E227" s="237"/>
      <c r="F227" s="237"/>
      <c r="G227" s="237"/>
      <c r="H227" s="238"/>
    </row>
    <row r="228" spans="1:8" ht="13" x14ac:dyDescent="0.25">
      <c r="A228" s="35"/>
      <c r="B228" s="36"/>
      <c r="C228" s="36"/>
      <c r="D228" s="37"/>
      <c r="E228" s="302" t="s">
        <v>256</v>
      </c>
      <c r="F228" s="302"/>
      <c r="G228" s="38" t="s">
        <v>257</v>
      </c>
      <c r="H228" s="38" t="s">
        <v>258</v>
      </c>
    </row>
    <row r="229" spans="1:8" x14ac:dyDescent="0.25">
      <c r="A229" s="266" t="s">
        <v>306</v>
      </c>
      <c r="B229" s="267"/>
      <c r="C229" s="268"/>
      <c r="D229" s="198" t="s">
        <v>307</v>
      </c>
      <c r="E229" s="289">
        <v>1</v>
      </c>
      <c r="F229" s="289"/>
      <c r="G229" s="193" t="s">
        <v>308</v>
      </c>
      <c r="H229" s="219" t="str">
        <f>IF(E229&gt;1,"Sizing as Filter","")</f>
        <v/>
      </c>
    </row>
    <row r="230" spans="1:8" x14ac:dyDescent="0.25">
      <c r="A230" s="289" t="s">
        <v>388</v>
      </c>
      <c r="B230" s="289"/>
      <c r="C230" s="289"/>
      <c r="D230" s="198" t="s">
        <v>312</v>
      </c>
      <c r="E230" s="289">
        <v>2</v>
      </c>
      <c r="F230" s="289"/>
      <c r="G230" s="193" t="s">
        <v>313</v>
      </c>
      <c r="H230" s="192"/>
    </row>
    <row r="231" spans="1:8" x14ac:dyDescent="0.25">
      <c r="A231" s="266" t="s">
        <v>381</v>
      </c>
      <c r="B231" s="267"/>
      <c r="C231" s="268"/>
      <c r="D231" s="198" t="s">
        <v>315</v>
      </c>
      <c r="E231" s="308" t="e">
        <f>ROUNDUP((F212*D223)/(E229*(D221+D223)*E230),0)</f>
        <v>#VALUE!</v>
      </c>
      <c r="F231" s="308"/>
      <c r="G231" s="193" t="s">
        <v>316</v>
      </c>
      <c r="H231" s="192"/>
    </row>
    <row r="232" spans="1:8" x14ac:dyDescent="0.25">
      <c r="A232" s="266" t="s">
        <v>382</v>
      </c>
      <c r="B232" s="267"/>
      <c r="C232" s="268"/>
      <c r="D232" s="198" t="s">
        <v>315</v>
      </c>
      <c r="E232" s="336"/>
      <c r="F232" s="336"/>
      <c r="G232" s="193" t="s">
        <v>316</v>
      </c>
      <c r="H232" s="219" t="str">
        <f>IF(E232="","",IF(E232&lt;E231,"Does not meet sizing criteria",""))</f>
        <v/>
      </c>
    </row>
    <row r="233" spans="1:8" ht="13" x14ac:dyDescent="0.25">
      <c r="A233" s="236" t="s">
        <v>276</v>
      </c>
      <c r="B233" s="237"/>
      <c r="C233" s="237"/>
      <c r="D233" s="237"/>
      <c r="E233" s="237"/>
      <c r="F233" s="237"/>
      <c r="G233" s="237"/>
      <c r="H233" s="238"/>
    </row>
    <row r="234" spans="1:8" ht="13" x14ac:dyDescent="0.25">
      <c r="A234" s="335" t="s">
        <v>241</v>
      </c>
      <c r="B234" s="335"/>
      <c r="C234" s="9" t="str">
        <f>IF(A212="","",IF(D216="Yes",0,IF(D214&lt;0.5,0,IF(D217="Yes",0,IF(D218&lt;2,0,IF(D219&lt;2,0,IF(D220="No",0,IF(D221&gt;0.5,0,IF(D222&lt;3,0,IF(D223&lt;2.5,0,IF(D223&gt;4,0,IF(D224&lt;6,0,IF(D225&gt;15,0,IF(D226&lt;12,0,IF(E232&lt;E231,0,F212*1)))))))))))))))</f>
        <v/>
      </c>
      <c r="D234" s="339" t="s">
        <v>2</v>
      </c>
      <c r="E234" s="340"/>
      <c r="F234" s="340"/>
      <c r="G234" s="340"/>
      <c r="H234" s="341"/>
    </row>
    <row r="235" spans="1:8" ht="13" x14ac:dyDescent="0.3">
      <c r="A235" s="24" t="s">
        <v>56</v>
      </c>
      <c r="B235" s="23" t="str">
        <f>IF('STEP 2-WQv Calculation'!$B$4="","",'STEP 2-WQv Calculation'!$B$4)</f>
        <v/>
      </c>
      <c r="C235" s="31"/>
      <c r="D235" s="31"/>
      <c r="E235" s="32"/>
      <c r="F235" s="33"/>
      <c r="G235" s="33"/>
      <c r="H235" s="33"/>
    </row>
    <row r="236" spans="1:8" ht="13" x14ac:dyDescent="0.25">
      <c r="A236" s="331" t="s">
        <v>293</v>
      </c>
      <c r="B236" s="332"/>
      <c r="C236" s="332"/>
      <c r="D236" s="332"/>
      <c r="E236" s="332"/>
      <c r="F236" s="332"/>
      <c r="G236" s="332"/>
      <c r="H236" s="333"/>
    </row>
    <row r="237" spans="1:8" ht="38.5" x14ac:dyDescent="0.25">
      <c r="A237" s="204" t="s">
        <v>60</v>
      </c>
      <c r="B237" s="205" t="s">
        <v>61</v>
      </c>
      <c r="C237" s="205" t="s">
        <v>62</v>
      </c>
      <c r="D237" s="205" t="s">
        <v>63</v>
      </c>
      <c r="E237" s="205" t="s">
        <v>64</v>
      </c>
      <c r="F237" s="205" t="s">
        <v>65</v>
      </c>
      <c r="G237" s="205" t="s">
        <v>244</v>
      </c>
      <c r="H237" s="206" t="s">
        <v>13</v>
      </c>
    </row>
    <row r="238" spans="1:8" x14ac:dyDescent="0.25">
      <c r="A238" s="17"/>
      <c r="B238" s="18" t="str">
        <f>IF($A238="","",(LOOKUP($A238,'STEP 2-WQv Calculation'!$A$8:$A$37,'STEP 2-WQv Calculation'!$B$8:$B$37)))</f>
        <v/>
      </c>
      <c r="C238" s="18" t="str">
        <f>IF($A238="","",(LOOKUP($A238,'STEP 2-WQv Calculation'!$A$8:$A$37,'STEP 2-WQv Calculation'!$C$8:$C$37)))</f>
        <v/>
      </c>
      <c r="D238" s="53" t="str">
        <f>IF($A238="","",(LOOKUP($A238,'STEP 2-WQv Calculation'!$A$8:$A$37,'STEP 2-WQv Calculation'!$D$8:$D$37)))</f>
        <v/>
      </c>
      <c r="E238" s="18" t="str">
        <f>IF($A238="","",(LOOKUP($A238,'STEP 2-WQv Calculation'!$A$8:$A$37,'STEP 2-WQv Calculation'!$E$8:$E$37)))</f>
        <v/>
      </c>
      <c r="F238" s="42" t="str">
        <f>IF($A238="","",(LOOKUP($A238,'STEP 2-WQv Calculation'!$A$8:$A$37,'STEP 2-WQv Calculation'!$F$8:$F$37)))</f>
        <v/>
      </c>
      <c r="G238" s="18">
        <f>'STEP 2-WQv Calculation'!$B$5</f>
        <v>0</v>
      </c>
      <c r="H238" s="29" t="str">
        <f>IF($A238="","",(LOOKUP($A238,'STEP 2-WQv Calculation'!$A$8:$A$37,'STEP 2-WQv Calculation'!$G$8:$G$37)))</f>
        <v/>
      </c>
    </row>
    <row r="239" spans="1:8" ht="13" x14ac:dyDescent="0.25">
      <c r="A239" s="236" t="s">
        <v>226</v>
      </c>
      <c r="B239" s="237"/>
      <c r="C239" s="237"/>
      <c r="D239" s="237"/>
      <c r="E239" s="237"/>
      <c r="F239" s="237"/>
      <c r="G239" s="237"/>
      <c r="H239" s="238"/>
    </row>
    <row r="240" spans="1:8" x14ac:dyDescent="0.25">
      <c r="A240" s="242" t="s">
        <v>295</v>
      </c>
      <c r="B240" s="243"/>
      <c r="C240" s="244"/>
      <c r="D240" s="44"/>
      <c r="E240" s="322" t="str">
        <f>IF(D240="","",IF(D240&lt;0.5,"Does not meet design criteria",""))</f>
        <v/>
      </c>
      <c r="F240" s="323"/>
      <c r="G240" s="323"/>
      <c r="H240" s="324"/>
    </row>
    <row r="241" spans="1:8" x14ac:dyDescent="0.25">
      <c r="A241" s="242" t="s">
        <v>717</v>
      </c>
      <c r="B241" s="243"/>
      <c r="C241" s="244"/>
      <c r="D241" s="211"/>
      <c r="E241" s="322" t="str">
        <f>IF(D241="Yes","Two treatment practices in series required. Refer to Section 6.3.1","")</f>
        <v/>
      </c>
      <c r="F241" s="323"/>
      <c r="G241" s="323"/>
      <c r="H241" s="324"/>
    </row>
    <row r="242" spans="1:8" x14ac:dyDescent="0.25">
      <c r="A242" s="242" t="s">
        <v>718</v>
      </c>
      <c r="B242" s="243"/>
      <c r="C242" s="244"/>
      <c r="D242" s="211"/>
      <c r="E242" s="322" t="str">
        <f>IF(D242="","See Section 4.14 of the Design Manual",IF(D242="Yes","Does not meet feasibility criteria",""))</f>
        <v>See Section 4.14 of the Design Manual</v>
      </c>
      <c r="F242" s="323"/>
      <c r="G242" s="323"/>
      <c r="H242" s="324"/>
    </row>
    <row r="243" spans="1:8" x14ac:dyDescent="0.25">
      <c r="A243" s="242" t="s">
        <v>494</v>
      </c>
      <c r="B243" s="243"/>
      <c r="C243" s="244"/>
      <c r="D243" s="158" t="str">
        <f>IF(B238="","",IF(B238&gt;5,"Yes","No"))</f>
        <v/>
      </c>
      <c r="E243" s="322" t="str">
        <f>IF(D243&gt;"Yes","Does not meet design criteria","")</f>
        <v/>
      </c>
      <c r="F243" s="323"/>
      <c r="G243" s="323"/>
      <c r="H243" s="324"/>
    </row>
    <row r="244" spans="1:8" x14ac:dyDescent="0.25">
      <c r="A244" s="242" t="s">
        <v>713</v>
      </c>
      <c r="B244" s="243"/>
      <c r="C244" s="244"/>
      <c r="D244" s="43"/>
      <c r="E244" s="322" t="str">
        <f>IF(D244="","",IF(D244&lt;2,"Does not  meet design criteria",""))</f>
        <v/>
      </c>
      <c r="F244" s="323"/>
      <c r="G244" s="323"/>
      <c r="H244" s="324"/>
    </row>
    <row r="245" spans="1:8" x14ac:dyDescent="0.25">
      <c r="A245" s="242" t="s">
        <v>297</v>
      </c>
      <c r="B245" s="243"/>
      <c r="C245" s="244"/>
      <c r="D245" s="43"/>
      <c r="E245" s="322" t="str">
        <f>IF(D245="","",IF(D245&lt;2,"Does not meet design criteria",""))</f>
        <v/>
      </c>
      <c r="F245" s="323"/>
      <c r="G245" s="323"/>
      <c r="H245" s="324"/>
    </row>
    <row r="246" spans="1:8" x14ac:dyDescent="0.25">
      <c r="A246" s="242" t="s">
        <v>710</v>
      </c>
      <c r="B246" s="243"/>
      <c r="C246" s="244"/>
      <c r="D246" s="211"/>
      <c r="E246" s="322" t="str">
        <f>IF(D246="No","Does not meet design criteria","")</f>
        <v/>
      </c>
      <c r="F246" s="323"/>
      <c r="G246" s="323"/>
      <c r="H246" s="324"/>
    </row>
    <row r="247" spans="1:8" x14ac:dyDescent="0.25">
      <c r="A247" s="242" t="s">
        <v>559</v>
      </c>
      <c r="B247" s="243"/>
      <c r="C247" s="244"/>
      <c r="D247" s="43"/>
      <c r="E247" s="322" t="str">
        <f>IF(D247="","",IF(D247&gt;0.5,"Does not meet design criteria",""))</f>
        <v/>
      </c>
      <c r="F247" s="323"/>
      <c r="G247" s="323"/>
      <c r="H247" s="324"/>
    </row>
    <row r="248" spans="1:8" x14ac:dyDescent="0.25">
      <c r="A248" s="242" t="s">
        <v>378</v>
      </c>
      <c r="B248" s="243"/>
      <c r="C248" s="244"/>
      <c r="D248" s="43"/>
      <c r="E248" s="322" t="str">
        <f>IF(D248="","",IF(D248&lt;3,"Does not meet design criteria",""))</f>
        <v/>
      </c>
      <c r="F248" s="323"/>
      <c r="G248" s="323"/>
      <c r="H248" s="324"/>
    </row>
    <row r="249" spans="1:8" x14ac:dyDescent="0.25">
      <c r="A249" s="242" t="s">
        <v>558</v>
      </c>
      <c r="B249" s="243"/>
      <c r="C249" s="244"/>
      <c r="D249" s="43"/>
      <c r="E249" s="322" t="str">
        <f>IF(D249="","",IF(D249&gt;4,"Does not meet design criteria",IF(D249&lt;2.5,"Does not meet design criteria","")))</f>
        <v/>
      </c>
      <c r="F249" s="323"/>
      <c r="G249" s="323"/>
      <c r="H249" s="324"/>
    </row>
    <row r="250" spans="1:8" x14ac:dyDescent="0.25">
      <c r="A250" s="242" t="s">
        <v>402</v>
      </c>
      <c r="B250" s="243"/>
      <c r="C250" s="244"/>
      <c r="D250" s="43"/>
      <c r="E250" s="322" t="str">
        <f>IF(D250="","",IF(D250&lt;6,"Does not meet design criteria",""))</f>
        <v/>
      </c>
      <c r="F250" s="323"/>
      <c r="G250" s="323"/>
      <c r="H250" s="324"/>
    </row>
    <row r="251" spans="1:8" x14ac:dyDescent="0.25">
      <c r="A251" s="242" t="s">
        <v>520</v>
      </c>
      <c r="B251" s="243"/>
      <c r="C251" s="244"/>
      <c r="D251" s="43"/>
      <c r="E251" s="322" t="str">
        <f>IF(D251&gt;15,"Does not meet design criteria","")</f>
        <v/>
      </c>
      <c r="F251" s="323"/>
      <c r="G251" s="323"/>
      <c r="H251" s="324"/>
    </row>
    <row r="252" spans="1:8" x14ac:dyDescent="0.25">
      <c r="A252" s="242" t="s">
        <v>521</v>
      </c>
      <c r="B252" s="243"/>
      <c r="C252" s="244"/>
      <c r="D252" s="43"/>
      <c r="E252" s="322" t="str">
        <f>IF(D252="","",IF(D252&lt;12,"Does not meet design criteria",""))</f>
        <v/>
      </c>
      <c r="F252" s="323"/>
      <c r="G252" s="323"/>
      <c r="H252" s="324"/>
    </row>
    <row r="253" spans="1:8" ht="13" x14ac:dyDescent="0.25">
      <c r="A253" s="236" t="s">
        <v>232</v>
      </c>
      <c r="B253" s="237"/>
      <c r="C253" s="237"/>
      <c r="D253" s="237"/>
      <c r="E253" s="237"/>
      <c r="F253" s="237"/>
      <c r="G253" s="237"/>
      <c r="H253" s="238"/>
    </row>
    <row r="254" spans="1:8" ht="13" x14ac:dyDescent="0.25">
      <c r="A254" s="35"/>
      <c r="B254" s="36"/>
      <c r="C254" s="36"/>
      <c r="D254" s="37"/>
      <c r="E254" s="302" t="s">
        <v>256</v>
      </c>
      <c r="F254" s="302"/>
      <c r="G254" s="38" t="s">
        <v>257</v>
      </c>
      <c r="H254" s="38" t="s">
        <v>258</v>
      </c>
    </row>
    <row r="255" spans="1:8" x14ac:dyDescent="0.25">
      <c r="A255" s="266" t="s">
        <v>306</v>
      </c>
      <c r="B255" s="267"/>
      <c r="C255" s="268"/>
      <c r="D255" s="198" t="s">
        <v>307</v>
      </c>
      <c r="E255" s="289">
        <v>1</v>
      </c>
      <c r="F255" s="289"/>
      <c r="G255" s="193" t="s">
        <v>308</v>
      </c>
      <c r="H255" s="219" t="str">
        <f>IF(E255&gt;1,"Sizing as Filter","")</f>
        <v/>
      </c>
    </row>
    <row r="256" spans="1:8" x14ac:dyDescent="0.25">
      <c r="A256" s="289" t="s">
        <v>388</v>
      </c>
      <c r="B256" s="289"/>
      <c r="C256" s="289"/>
      <c r="D256" s="198" t="s">
        <v>312</v>
      </c>
      <c r="E256" s="289">
        <v>2</v>
      </c>
      <c r="F256" s="289"/>
      <c r="G256" s="193" t="s">
        <v>313</v>
      </c>
      <c r="H256" s="192"/>
    </row>
    <row r="257" spans="1:8" x14ac:dyDescent="0.25">
      <c r="A257" s="266" t="s">
        <v>381</v>
      </c>
      <c r="B257" s="267"/>
      <c r="C257" s="268"/>
      <c r="D257" s="198" t="s">
        <v>315</v>
      </c>
      <c r="E257" s="308" t="e">
        <f>ROUNDUP((F238*D249)/(E255*(D247+D249)*E256),0)</f>
        <v>#VALUE!</v>
      </c>
      <c r="F257" s="308"/>
      <c r="G257" s="193" t="s">
        <v>316</v>
      </c>
      <c r="H257" s="192"/>
    </row>
    <row r="258" spans="1:8" x14ac:dyDescent="0.25">
      <c r="A258" s="266" t="s">
        <v>382</v>
      </c>
      <c r="B258" s="267"/>
      <c r="C258" s="268"/>
      <c r="D258" s="198" t="s">
        <v>315</v>
      </c>
      <c r="E258" s="336"/>
      <c r="F258" s="336"/>
      <c r="G258" s="193" t="s">
        <v>316</v>
      </c>
      <c r="H258" s="219" t="str">
        <f>IF(E258="","",IF(E258&lt;E257,"Does not meet sizing criteria",""))</f>
        <v/>
      </c>
    </row>
    <row r="259" spans="1:8" ht="13" x14ac:dyDescent="0.25">
      <c r="A259" s="236" t="s">
        <v>276</v>
      </c>
      <c r="B259" s="237"/>
      <c r="C259" s="237"/>
      <c r="D259" s="237"/>
      <c r="E259" s="237"/>
      <c r="F259" s="237"/>
      <c r="G259" s="237"/>
      <c r="H259" s="238"/>
    </row>
    <row r="260" spans="1:8" ht="13" x14ac:dyDescent="0.25">
      <c r="A260" s="335" t="s">
        <v>241</v>
      </c>
      <c r="B260" s="335"/>
      <c r="C260" s="9" t="str">
        <f>IF(A238="","",IF(D242="Yes",0,IF(D240&lt;0.5,0,IF(D243="Yes",0,IF(D244&lt;2,0,IF(D245&lt;2,0,IF(D246="No",0,IF(D247&gt;0.5,0,IF(D248&lt;3,0,IF(D249&lt;2.5,0,IF(D249&gt;4,0,IF(D250&lt;6,0,IF(D251&gt;15,0,IF(D252&lt;12,0,IF(E258&lt;E257,0,F238*1)))))))))))))))</f>
        <v/>
      </c>
      <c r="D260" s="339" t="s">
        <v>2</v>
      </c>
      <c r="E260" s="340"/>
      <c r="F260" s="340"/>
      <c r="G260" s="340"/>
      <c r="H260" s="341"/>
    </row>
  </sheetData>
  <sheetProtection algorithmName="SHA-512" hashValue="kHdawa87f83jBE9NtXUKZYTx8GlwZprcZ6iL1SdqxYzd8eJRXawJHxW01v/ugwO/5xdB2nLOxHJRGkM6CJO8nQ==" saltValue="OC0mAt4EOA2iTXPDcbtJwg==" spinCount="100000" sheet="1" formatColumns="0" formatRows="0"/>
  <mergeCells count="414">
    <mergeCell ref="A259:H259"/>
    <mergeCell ref="A260:B260"/>
    <mergeCell ref="D260:H260"/>
    <mergeCell ref="E254:F254"/>
    <mergeCell ref="A255:C255"/>
    <mergeCell ref="E255:F255"/>
    <mergeCell ref="A256:C256"/>
    <mergeCell ref="E256:F256"/>
    <mergeCell ref="A257:C257"/>
    <mergeCell ref="E257:F257"/>
    <mergeCell ref="A258:C258"/>
    <mergeCell ref="E258:F258"/>
    <mergeCell ref="A249:C249"/>
    <mergeCell ref="E249:H249"/>
    <mergeCell ref="A250:C250"/>
    <mergeCell ref="E250:H250"/>
    <mergeCell ref="A251:C251"/>
    <mergeCell ref="E251:H251"/>
    <mergeCell ref="A252:C252"/>
    <mergeCell ref="E252:H252"/>
    <mergeCell ref="A253:H253"/>
    <mergeCell ref="A244:C244"/>
    <mergeCell ref="E244:H244"/>
    <mergeCell ref="A245:C245"/>
    <mergeCell ref="E245:H245"/>
    <mergeCell ref="A246:C246"/>
    <mergeCell ref="E246:H246"/>
    <mergeCell ref="A247:C247"/>
    <mergeCell ref="E247:H247"/>
    <mergeCell ref="A248:C248"/>
    <mergeCell ref="E248:H248"/>
    <mergeCell ref="A236:H236"/>
    <mergeCell ref="A239:H239"/>
    <mergeCell ref="A240:C240"/>
    <mergeCell ref="E240:H240"/>
    <mergeCell ref="A241:C241"/>
    <mergeCell ref="E241:H241"/>
    <mergeCell ref="A242:C242"/>
    <mergeCell ref="E242:H242"/>
    <mergeCell ref="A243:C243"/>
    <mergeCell ref="E243:H243"/>
    <mergeCell ref="A230:C230"/>
    <mergeCell ref="E230:F230"/>
    <mergeCell ref="A231:C231"/>
    <mergeCell ref="E231:F231"/>
    <mergeCell ref="A232:C232"/>
    <mergeCell ref="E232:F232"/>
    <mergeCell ref="A233:H233"/>
    <mergeCell ref="A234:B234"/>
    <mergeCell ref="D234:H234"/>
    <mergeCell ref="A224:C224"/>
    <mergeCell ref="E224:H224"/>
    <mergeCell ref="A225:C225"/>
    <mergeCell ref="E225:H225"/>
    <mergeCell ref="A226:C226"/>
    <mergeCell ref="E226:H226"/>
    <mergeCell ref="A227:H227"/>
    <mergeCell ref="E228:F228"/>
    <mergeCell ref="A229:C229"/>
    <mergeCell ref="E229:F229"/>
    <mergeCell ref="A219:C219"/>
    <mergeCell ref="E219:H219"/>
    <mergeCell ref="A220:C220"/>
    <mergeCell ref="E220:H220"/>
    <mergeCell ref="A221:C221"/>
    <mergeCell ref="E221:H221"/>
    <mergeCell ref="A222:C222"/>
    <mergeCell ref="E222:H222"/>
    <mergeCell ref="A223:C223"/>
    <mergeCell ref="E223:H223"/>
    <mergeCell ref="A214:C214"/>
    <mergeCell ref="E214:H214"/>
    <mergeCell ref="A215:C215"/>
    <mergeCell ref="E215:H215"/>
    <mergeCell ref="A216:C216"/>
    <mergeCell ref="E216:H216"/>
    <mergeCell ref="A217:C217"/>
    <mergeCell ref="E217:H217"/>
    <mergeCell ref="A218:C218"/>
    <mergeCell ref="E218:H218"/>
    <mergeCell ref="A205:C205"/>
    <mergeCell ref="E205:F205"/>
    <mergeCell ref="A206:C206"/>
    <mergeCell ref="E206:F206"/>
    <mergeCell ref="A207:H207"/>
    <mergeCell ref="A208:B208"/>
    <mergeCell ref="D208:H208"/>
    <mergeCell ref="A210:H210"/>
    <mergeCell ref="A213:H213"/>
    <mergeCell ref="A199:C199"/>
    <mergeCell ref="E199:H199"/>
    <mergeCell ref="A200:C200"/>
    <mergeCell ref="E200:H200"/>
    <mergeCell ref="A201:H201"/>
    <mergeCell ref="E202:F202"/>
    <mergeCell ref="A203:C203"/>
    <mergeCell ref="E203:F203"/>
    <mergeCell ref="A204:C204"/>
    <mergeCell ref="E204:F204"/>
    <mergeCell ref="A194:C194"/>
    <mergeCell ref="E194:H194"/>
    <mergeCell ref="A195:C195"/>
    <mergeCell ref="E195:H195"/>
    <mergeCell ref="A196:C196"/>
    <mergeCell ref="E196:H196"/>
    <mergeCell ref="A197:C197"/>
    <mergeCell ref="E197:H197"/>
    <mergeCell ref="A198:C198"/>
    <mergeCell ref="E198:H198"/>
    <mergeCell ref="A189:C189"/>
    <mergeCell ref="E189:H189"/>
    <mergeCell ref="A190:C190"/>
    <mergeCell ref="E190:H190"/>
    <mergeCell ref="A191:C191"/>
    <mergeCell ref="E191:H191"/>
    <mergeCell ref="A192:C192"/>
    <mergeCell ref="E192:H192"/>
    <mergeCell ref="A193:C193"/>
    <mergeCell ref="E193:H193"/>
    <mergeCell ref="A180:C180"/>
    <mergeCell ref="E180:F180"/>
    <mergeCell ref="A181:H181"/>
    <mergeCell ref="A182:B182"/>
    <mergeCell ref="D182:H182"/>
    <mergeCell ref="A184:H184"/>
    <mergeCell ref="A187:H187"/>
    <mergeCell ref="A188:C188"/>
    <mergeCell ref="E188:H188"/>
    <mergeCell ref="A174:C174"/>
    <mergeCell ref="E174:H174"/>
    <mergeCell ref="A175:H175"/>
    <mergeCell ref="E176:F176"/>
    <mergeCell ref="A177:C177"/>
    <mergeCell ref="E177:F177"/>
    <mergeCell ref="A178:C178"/>
    <mergeCell ref="E178:F178"/>
    <mergeCell ref="A179:C179"/>
    <mergeCell ref="E179:F179"/>
    <mergeCell ref="A169:C169"/>
    <mergeCell ref="E169:H169"/>
    <mergeCell ref="A170:C170"/>
    <mergeCell ref="E170:H170"/>
    <mergeCell ref="A171:C171"/>
    <mergeCell ref="E171:H171"/>
    <mergeCell ref="A172:C172"/>
    <mergeCell ref="E172:H172"/>
    <mergeCell ref="A173:C173"/>
    <mergeCell ref="E173:H173"/>
    <mergeCell ref="A164:C164"/>
    <mergeCell ref="E164:H164"/>
    <mergeCell ref="A165:C165"/>
    <mergeCell ref="E165:H165"/>
    <mergeCell ref="A166:C166"/>
    <mergeCell ref="E166:H166"/>
    <mergeCell ref="A167:C167"/>
    <mergeCell ref="E167:H167"/>
    <mergeCell ref="A168:C168"/>
    <mergeCell ref="E168:H168"/>
    <mergeCell ref="A155:H155"/>
    <mergeCell ref="A156:B156"/>
    <mergeCell ref="D156:H156"/>
    <mergeCell ref="A158:H158"/>
    <mergeCell ref="A161:H161"/>
    <mergeCell ref="A162:C162"/>
    <mergeCell ref="E162:H162"/>
    <mergeCell ref="A163:C163"/>
    <mergeCell ref="E163:H163"/>
    <mergeCell ref="E150:F150"/>
    <mergeCell ref="A151:C151"/>
    <mergeCell ref="E151:F151"/>
    <mergeCell ref="A152:C152"/>
    <mergeCell ref="E152:F152"/>
    <mergeCell ref="A153:C153"/>
    <mergeCell ref="E153:F153"/>
    <mergeCell ref="A154:C154"/>
    <mergeCell ref="E154:F154"/>
    <mergeCell ref="A145:C145"/>
    <mergeCell ref="E145:H145"/>
    <mergeCell ref="A146:C146"/>
    <mergeCell ref="E146:H146"/>
    <mergeCell ref="A147:C147"/>
    <mergeCell ref="E147:H147"/>
    <mergeCell ref="A148:C148"/>
    <mergeCell ref="E148:H148"/>
    <mergeCell ref="A149:H149"/>
    <mergeCell ref="A140:C140"/>
    <mergeCell ref="E140:H140"/>
    <mergeCell ref="A141:C141"/>
    <mergeCell ref="E141:H141"/>
    <mergeCell ref="A142:C142"/>
    <mergeCell ref="E142:H142"/>
    <mergeCell ref="A143:C143"/>
    <mergeCell ref="E143:H143"/>
    <mergeCell ref="A144:C144"/>
    <mergeCell ref="E144:H144"/>
    <mergeCell ref="A132:H132"/>
    <mergeCell ref="A135:H135"/>
    <mergeCell ref="A136:C136"/>
    <mergeCell ref="E136:H136"/>
    <mergeCell ref="A137:C137"/>
    <mergeCell ref="E137:H137"/>
    <mergeCell ref="A138:C138"/>
    <mergeCell ref="E138:H138"/>
    <mergeCell ref="A139:C139"/>
    <mergeCell ref="E139:H139"/>
    <mergeCell ref="A60:C60"/>
    <mergeCell ref="E60:H60"/>
    <mergeCell ref="A87:C87"/>
    <mergeCell ref="E87:H87"/>
    <mergeCell ref="A113:C113"/>
    <mergeCell ref="E113:H113"/>
    <mergeCell ref="A112:C112"/>
    <mergeCell ref="E112:H112"/>
    <mergeCell ref="A103:H103"/>
    <mergeCell ref="A104:B104"/>
    <mergeCell ref="D104:H104"/>
    <mergeCell ref="A100:C100"/>
    <mergeCell ref="E100:F100"/>
    <mergeCell ref="A101:C101"/>
    <mergeCell ref="E101:F101"/>
    <mergeCell ref="A102:C102"/>
    <mergeCell ref="E102:F102"/>
    <mergeCell ref="A96:C96"/>
    <mergeCell ref="E96:H96"/>
    <mergeCell ref="A97:H97"/>
    <mergeCell ref="E98:F98"/>
    <mergeCell ref="A99:C99"/>
    <mergeCell ref="E99:F99"/>
    <mergeCell ref="A93:C93"/>
    <mergeCell ref="I2:N2"/>
    <mergeCell ref="I3:N3"/>
    <mergeCell ref="I4:N4"/>
    <mergeCell ref="I5:N5"/>
    <mergeCell ref="A129:H129"/>
    <mergeCell ref="A130:B130"/>
    <mergeCell ref="D130:H130"/>
    <mergeCell ref="A126:C126"/>
    <mergeCell ref="E126:F126"/>
    <mergeCell ref="A127:C127"/>
    <mergeCell ref="E127:F127"/>
    <mergeCell ref="A128:C128"/>
    <mergeCell ref="E128:F128"/>
    <mergeCell ref="A122:C122"/>
    <mergeCell ref="E122:H122"/>
    <mergeCell ref="A123:H123"/>
    <mergeCell ref="E124:F124"/>
    <mergeCell ref="A125:C125"/>
    <mergeCell ref="E125:F125"/>
    <mergeCell ref="A119:C119"/>
    <mergeCell ref="E119:H119"/>
    <mergeCell ref="A120:C120"/>
    <mergeCell ref="A8:C8"/>
    <mergeCell ref="E8:H8"/>
    <mergeCell ref="E120:H120"/>
    <mergeCell ref="A121:C121"/>
    <mergeCell ref="E121:H121"/>
    <mergeCell ref="A116:C116"/>
    <mergeCell ref="E116:H116"/>
    <mergeCell ref="A117:C117"/>
    <mergeCell ref="E117:H117"/>
    <mergeCell ref="A118:C118"/>
    <mergeCell ref="E118:H118"/>
    <mergeCell ref="A114:C114"/>
    <mergeCell ref="E114:H114"/>
    <mergeCell ref="A115:C115"/>
    <mergeCell ref="E115:H115"/>
    <mergeCell ref="A106:H106"/>
    <mergeCell ref="A109:H109"/>
    <mergeCell ref="A110:C110"/>
    <mergeCell ref="E110:H110"/>
    <mergeCell ref="A111:C111"/>
    <mergeCell ref="E111:H111"/>
    <mergeCell ref="E93:H93"/>
    <mergeCell ref="A94:C94"/>
    <mergeCell ref="E94:H94"/>
    <mergeCell ref="A95:C95"/>
    <mergeCell ref="E95:H95"/>
    <mergeCell ref="A90:C90"/>
    <mergeCell ref="E90:H90"/>
    <mergeCell ref="A91:C91"/>
    <mergeCell ref="E91:H91"/>
    <mergeCell ref="A92:C92"/>
    <mergeCell ref="E92:H92"/>
    <mergeCell ref="A86:C86"/>
    <mergeCell ref="E86:H86"/>
    <mergeCell ref="A88:C88"/>
    <mergeCell ref="E88:H88"/>
    <mergeCell ref="A89:C89"/>
    <mergeCell ref="E89:H89"/>
    <mergeCell ref="A80:H80"/>
    <mergeCell ref="A83:H83"/>
    <mergeCell ref="A84:C84"/>
    <mergeCell ref="E84:H84"/>
    <mergeCell ref="A85:C85"/>
    <mergeCell ref="E85:H85"/>
    <mergeCell ref="A77:H77"/>
    <mergeCell ref="A78:B78"/>
    <mergeCell ref="D78:H78"/>
    <mergeCell ref="A74:C74"/>
    <mergeCell ref="E74:F74"/>
    <mergeCell ref="A75:C75"/>
    <mergeCell ref="E75:F75"/>
    <mergeCell ref="A76:C76"/>
    <mergeCell ref="E76:F76"/>
    <mergeCell ref="A70:C70"/>
    <mergeCell ref="E70:H70"/>
    <mergeCell ref="A71:H71"/>
    <mergeCell ref="E72:F72"/>
    <mergeCell ref="A73:C73"/>
    <mergeCell ref="E73:F73"/>
    <mergeCell ref="A67:C67"/>
    <mergeCell ref="E67:H67"/>
    <mergeCell ref="A68:C68"/>
    <mergeCell ref="E68:H68"/>
    <mergeCell ref="A69:C69"/>
    <mergeCell ref="E69:H69"/>
    <mergeCell ref="A64:C64"/>
    <mergeCell ref="E64:H64"/>
    <mergeCell ref="A65:C65"/>
    <mergeCell ref="E65:H65"/>
    <mergeCell ref="A66:C66"/>
    <mergeCell ref="E66:H66"/>
    <mergeCell ref="A61:C61"/>
    <mergeCell ref="E61:H61"/>
    <mergeCell ref="A62:C62"/>
    <mergeCell ref="E62:H62"/>
    <mergeCell ref="A63:C63"/>
    <mergeCell ref="E63:H63"/>
    <mergeCell ref="A54:H54"/>
    <mergeCell ref="A57:H57"/>
    <mergeCell ref="A58:C58"/>
    <mergeCell ref="E58:H58"/>
    <mergeCell ref="A59:C59"/>
    <mergeCell ref="E59:H59"/>
    <mergeCell ref="A51:H51"/>
    <mergeCell ref="A52:B52"/>
    <mergeCell ref="D52:H52"/>
    <mergeCell ref="A48:C48"/>
    <mergeCell ref="E48:F48"/>
    <mergeCell ref="A49:C49"/>
    <mergeCell ref="E49:F49"/>
    <mergeCell ref="A50:C50"/>
    <mergeCell ref="E50:F50"/>
    <mergeCell ref="A44:C44"/>
    <mergeCell ref="E44:H44"/>
    <mergeCell ref="A45:H45"/>
    <mergeCell ref="E46:F46"/>
    <mergeCell ref="A47:C47"/>
    <mergeCell ref="E47:F47"/>
    <mergeCell ref="A41:C41"/>
    <mergeCell ref="E41:H41"/>
    <mergeCell ref="A42:C42"/>
    <mergeCell ref="E42:H42"/>
    <mergeCell ref="A43:C43"/>
    <mergeCell ref="E43:H43"/>
    <mergeCell ref="A38:C38"/>
    <mergeCell ref="E38:H38"/>
    <mergeCell ref="A39:C39"/>
    <mergeCell ref="E39:H39"/>
    <mergeCell ref="A40:C40"/>
    <mergeCell ref="E40:H40"/>
    <mergeCell ref="A35:C35"/>
    <mergeCell ref="E35:H35"/>
    <mergeCell ref="A36:C36"/>
    <mergeCell ref="E36:H36"/>
    <mergeCell ref="A37:C37"/>
    <mergeCell ref="E37:H37"/>
    <mergeCell ref="A28:H28"/>
    <mergeCell ref="A31:H31"/>
    <mergeCell ref="A32:C32"/>
    <mergeCell ref="E32:H32"/>
    <mergeCell ref="A33:C33"/>
    <mergeCell ref="E33:H33"/>
    <mergeCell ref="A34:C34"/>
    <mergeCell ref="E34:H34"/>
    <mergeCell ref="A2:H2"/>
    <mergeCell ref="A19:H19"/>
    <mergeCell ref="E20:F20"/>
    <mergeCell ref="A6:C6"/>
    <mergeCell ref="E6:H6"/>
    <mergeCell ref="A9:C9"/>
    <mergeCell ref="E9:H9"/>
    <mergeCell ref="A10:C10"/>
    <mergeCell ref="E10:H10"/>
    <mergeCell ref="A11:C11"/>
    <mergeCell ref="E11:H11"/>
    <mergeCell ref="A7:C7"/>
    <mergeCell ref="E7:H7"/>
    <mergeCell ref="A12:C12"/>
    <mergeCell ref="A5:H5"/>
    <mergeCell ref="A18:C18"/>
    <mergeCell ref="E18:H18"/>
    <mergeCell ref="E12:H12"/>
    <mergeCell ref="A13:C13"/>
    <mergeCell ref="E13:H13"/>
    <mergeCell ref="A17:C17"/>
    <mergeCell ref="E17:H17"/>
    <mergeCell ref="A16:C16"/>
    <mergeCell ref="E16:H16"/>
    <mergeCell ref="A14:C14"/>
    <mergeCell ref="E14:H14"/>
    <mergeCell ref="A15:C15"/>
    <mergeCell ref="E15:H15"/>
    <mergeCell ref="A25:H25"/>
    <mergeCell ref="A26:B26"/>
    <mergeCell ref="A24:C24"/>
    <mergeCell ref="E24:F24"/>
    <mergeCell ref="D26:H26"/>
    <mergeCell ref="A23:C23"/>
    <mergeCell ref="E23:F23"/>
    <mergeCell ref="A21:C21"/>
    <mergeCell ref="E21:F21"/>
    <mergeCell ref="A22:C22"/>
    <mergeCell ref="E22:F22"/>
  </mergeCells>
  <dataValidations count="3">
    <dataValidation type="list" showInputMessage="1" showErrorMessage="1" promptTitle="Choose Area" sqref="A82 A30 A4 A56 A108 A134 A160 A186 A212 A238" xr:uid="{365B6831-C67F-4EBF-8B48-8482A24D8675}">
      <formula1>CatchNo</formula1>
    </dataValidation>
    <dataValidation type="list" showInputMessage="1" showErrorMessage="1" promptTitle="Yes or No?" sqref="D116 D12 D7:D8 D38 D85:D86 D64 D33:D34 D90 D59:D60 D111:D112 D142 D137:D138 D168 D163:D164 D194 D189:D190 D220 D215:D216 D246 D241:D242" xr:uid="{1FC05DF1-A5BF-4E24-900F-703474B43CB4}">
      <formula1>YesNo</formula1>
    </dataValidation>
    <dataValidation type="decimal" operator="greaterThan" allowBlank="1" showInputMessage="1" showErrorMessage="1" sqref="D13:D18 D10:D11 D6 E24:F24 D39:D44 D36:D37 D32 E50:F50 D65:D70 D62:D63 D58 E76:F76 D91:D96 D88:D89 D84 E102:F102 D117:D122 D114:D115 D110 E128:F128 D143:D148 D140:D141 D136 E154:F154 D169:D174 D166:D167 D162 E180:F180 D195:D200 D192:D193 D188 E206:F206 D221:D226 D218:D219 D214 E232:F232 D247:D252 D244:D245 D240 E258:F258" xr:uid="{38815963-9AA3-4F77-A333-1924CC5E1706}">
      <formula1>0</formula1>
    </dataValidation>
  </dataValidations>
  <pageMargins left="0.5" right="0.5" top="0.75" bottom="0.5" header="0.3" footer="0.3"/>
  <pageSetup paperSize="278" orientation="portrait" r:id="rId1"/>
  <headerFooter>
    <oddHeader>&amp;C&amp;"Arial,Regular"&amp;18Infiltration Bioretention (F-4)</oddHeader>
  </headerFooter>
  <rowBreaks count="10" manualBreakCount="10">
    <brk id="26" max="16383" man="1"/>
    <brk id="52" max="16383" man="1"/>
    <brk id="78" max="16383" man="1"/>
    <brk id="104" max="16383" man="1"/>
    <brk id="130" max="16383" man="1"/>
    <brk id="156" max="16383" man="1"/>
    <brk id="182" max="16383" man="1"/>
    <brk id="208" max="16383" man="1"/>
    <brk id="234" max="16383" man="1"/>
    <brk id="26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G44"/>
  <sheetViews>
    <sheetView view="pageLayout" topLeftCell="A4" workbookViewId="0">
      <selection activeCell="C43" sqref="C43:C44"/>
    </sheetView>
  </sheetViews>
  <sheetFormatPr defaultRowHeight="14.5" x14ac:dyDescent="0.35"/>
  <cols>
    <col min="1" max="1" width="4" bestFit="1" customWidth="1"/>
    <col min="3" max="3" width="17.453125" bestFit="1" customWidth="1"/>
    <col min="5" max="5" width="27.81640625" bestFit="1" customWidth="1"/>
  </cols>
  <sheetData>
    <row r="1" spans="1:7" x14ac:dyDescent="0.35">
      <c r="A1" t="s">
        <v>560</v>
      </c>
      <c r="C1" t="s">
        <v>561</v>
      </c>
      <c r="E1" t="s">
        <v>105</v>
      </c>
      <c r="G1" t="s">
        <v>215</v>
      </c>
    </row>
    <row r="2" spans="1:7" x14ac:dyDescent="0.35">
      <c r="A2" t="s">
        <v>248</v>
      </c>
      <c r="C2" t="s">
        <v>562</v>
      </c>
      <c r="E2" t="s">
        <v>563</v>
      </c>
      <c r="G2" t="s">
        <v>216</v>
      </c>
    </row>
    <row r="3" spans="1:7" x14ac:dyDescent="0.35">
      <c r="C3" t="s">
        <v>564</v>
      </c>
      <c r="E3" t="s">
        <v>565</v>
      </c>
      <c r="G3" t="s">
        <v>217</v>
      </c>
    </row>
    <row r="4" spans="1:7" x14ac:dyDescent="0.35">
      <c r="A4">
        <v>1</v>
      </c>
      <c r="C4" t="s">
        <v>566</v>
      </c>
      <c r="E4" t="s">
        <v>567</v>
      </c>
      <c r="G4" t="s">
        <v>218</v>
      </c>
    </row>
    <row r="5" spans="1:7" x14ac:dyDescent="0.35">
      <c r="A5">
        <v>2</v>
      </c>
      <c r="C5" t="s">
        <v>103</v>
      </c>
      <c r="E5" t="s">
        <v>568</v>
      </c>
    </row>
    <row r="6" spans="1:7" x14ac:dyDescent="0.35">
      <c r="A6">
        <v>3</v>
      </c>
      <c r="C6" t="s">
        <v>94</v>
      </c>
      <c r="E6" t="s">
        <v>569</v>
      </c>
    </row>
    <row r="7" spans="1:7" x14ac:dyDescent="0.35">
      <c r="A7">
        <v>4</v>
      </c>
      <c r="C7" t="s">
        <v>570</v>
      </c>
    </row>
    <row r="8" spans="1:7" x14ac:dyDescent="0.35">
      <c r="A8">
        <v>5</v>
      </c>
      <c r="C8" t="s">
        <v>88</v>
      </c>
    </row>
    <row r="9" spans="1:7" x14ac:dyDescent="0.35">
      <c r="A9">
        <v>6</v>
      </c>
      <c r="C9" t="s">
        <v>86</v>
      </c>
    </row>
    <row r="10" spans="1:7" x14ac:dyDescent="0.35">
      <c r="A10">
        <v>7</v>
      </c>
      <c r="C10" t="s">
        <v>101</v>
      </c>
    </row>
    <row r="11" spans="1:7" x14ac:dyDescent="0.35">
      <c r="A11">
        <v>8</v>
      </c>
    </row>
    <row r="12" spans="1:7" x14ac:dyDescent="0.35">
      <c r="A12">
        <v>9</v>
      </c>
      <c r="E12" t="s">
        <v>571</v>
      </c>
    </row>
    <row r="13" spans="1:7" x14ac:dyDescent="0.35">
      <c r="A13">
        <v>10</v>
      </c>
      <c r="C13" t="s">
        <v>561</v>
      </c>
      <c r="E13" t="s">
        <v>561</v>
      </c>
      <c r="F13" s="2" t="s">
        <v>215</v>
      </c>
    </row>
    <row r="14" spans="1:7" x14ac:dyDescent="0.35">
      <c r="A14">
        <v>11</v>
      </c>
      <c r="C14" t="s">
        <v>562</v>
      </c>
      <c r="E14" t="s">
        <v>103</v>
      </c>
      <c r="F14" s="2" t="s">
        <v>216</v>
      </c>
    </row>
    <row r="15" spans="1:7" x14ac:dyDescent="0.35">
      <c r="A15">
        <v>12</v>
      </c>
      <c r="C15" t="s">
        <v>563</v>
      </c>
      <c r="E15" t="s">
        <v>109</v>
      </c>
      <c r="F15" s="2" t="s">
        <v>217</v>
      </c>
    </row>
    <row r="16" spans="1:7" x14ac:dyDescent="0.35">
      <c r="A16">
        <v>13</v>
      </c>
      <c r="C16" t="s">
        <v>564</v>
      </c>
      <c r="E16" t="s">
        <v>572</v>
      </c>
      <c r="F16" s="2" t="s">
        <v>218</v>
      </c>
    </row>
    <row r="17" spans="1:6" x14ac:dyDescent="0.35">
      <c r="A17">
        <v>14</v>
      </c>
      <c r="C17" t="s">
        <v>105</v>
      </c>
    </row>
    <row r="18" spans="1:6" x14ac:dyDescent="0.35">
      <c r="A18">
        <v>15</v>
      </c>
      <c r="C18" t="s">
        <v>567</v>
      </c>
    </row>
    <row r="19" spans="1:6" x14ac:dyDescent="0.35">
      <c r="A19">
        <v>16</v>
      </c>
      <c r="C19" t="s">
        <v>573</v>
      </c>
    </row>
    <row r="20" spans="1:6" x14ac:dyDescent="0.35">
      <c r="A20">
        <v>17</v>
      </c>
      <c r="C20" t="s">
        <v>574</v>
      </c>
      <c r="F20">
        <v>1</v>
      </c>
    </row>
    <row r="21" spans="1:6" x14ac:dyDescent="0.35">
      <c r="A21">
        <v>18</v>
      </c>
      <c r="C21" t="s">
        <v>103</v>
      </c>
      <c r="F21">
        <v>0.4</v>
      </c>
    </row>
    <row r="22" spans="1:6" x14ac:dyDescent="0.35">
      <c r="A22">
        <v>19</v>
      </c>
      <c r="C22" t="s">
        <v>109</v>
      </c>
    </row>
    <row r="23" spans="1:6" x14ac:dyDescent="0.35">
      <c r="A23">
        <v>20</v>
      </c>
      <c r="C23" t="s">
        <v>101</v>
      </c>
    </row>
    <row r="24" spans="1:6" x14ac:dyDescent="0.35">
      <c r="A24">
        <v>21</v>
      </c>
      <c r="C24" t="s">
        <v>94</v>
      </c>
    </row>
    <row r="25" spans="1:6" x14ac:dyDescent="0.35">
      <c r="A25">
        <v>22</v>
      </c>
      <c r="C25" t="s">
        <v>88</v>
      </c>
      <c r="F25" s="2" t="s">
        <v>215</v>
      </c>
    </row>
    <row r="26" spans="1:6" x14ac:dyDescent="0.35">
      <c r="A26">
        <v>23</v>
      </c>
      <c r="C26" t="s">
        <v>575</v>
      </c>
      <c r="F26" s="2" t="s">
        <v>216</v>
      </c>
    </row>
    <row r="27" spans="1:6" x14ac:dyDescent="0.35">
      <c r="A27">
        <v>24</v>
      </c>
      <c r="C27" t="s">
        <v>90</v>
      </c>
      <c r="F27" s="2" t="s">
        <v>217</v>
      </c>
    </row>
    <row r="28" spans="1:6" x14ac:dyDescent="0.35">
      <c r="A28">
        <v>25</v>
      </c>
      <c r="C28" t="s">
        <v>576</v>
      </c>
      <c r="F28" s="2" t="s">
        <v>218</v>
      </c>
    </row>
    <row r="29" spans="1:6" x14ac:dyDescent="0.35">
      <c r="A29">
        <v>26</v>
      </c>
      <c r="C29" t="s">
        <v>86</v>
      </c>
      <c r="F29" s="2" t="s">
        <v>577</v>
      </c>
    </row>
    <row r="30" spans="1:6" x14ac:dyDescent="0.35">
      <c r="A30">
        <v>27</v>
      </c>
      <c r="F30" s="2" t="s">
        <v>578</v>
      </c>
    </row>
    <row r="31" spans="1:6" x14ac:dyDescent="0.35">
      <c r="A31">
        <v>28</v>
      </c>
    </row>
    <row r="32" spans="1:6" ht="15" customHeight="1" x14ac:dyDescent="0.35">
      <c r="A32">
        <v>29</v>
      </c>
      <c r="C32" t="s">
        <v>579</v>
      </c>
    </row>
    <row r="33" spans="1:6" x14ac:dyDescent="0.35">
      <c r="A33">
        <v>30</v>
      </c>
      <c r="C33" t="s">
        <v>580</v>
      </c>
      <c r="F33" s="2" t="s">
        <v>581</v>
      </c>
    </row>
    <row r="34" spans="1:6" x14ac:dyDescent="0.35">
      <c r="C34" t="s">
        <v>571</v>
      </c>
      <c r="F34" s="2" t="s">
        <v>582</v>
      </c>
    </row>
    <row r="36" spans="1:6" x14ac:dyDescent="0.35">
      <c r="E36" t="s">
        <v>561</v>
      </c>
    </row>
    <row r="37" spans="1:6" x14ac:dyDescent="0.35">
      <c r="C37" t="s">
        <v>583</v>
      </c>
      <c r="E37" t="s">
        <v>562</v>
      </c>
    </row>
    <row r="38" spans="1:6" x14ac:dyDescent="0.35">
      <c r="C38" t="s">
        <v>584</v>
      </c>
    </row>
    <row r="39" spans="1:6" x14ac:dyDescent="0.35">
      <c r="C39" t="s">
        <v>585</v>
      </c>
    </row>
    <row r="40" spans="1:6" x14ac:dyDescent="0.35">
      <c r="C40" t="s">
        <v>586</v>
      </c>
    </row>
    <row r="41" spans="1:6" x14ac:dyDescent="0.35">
      <c r="C41" t="s">
        <v>587</v>
      </c>
    </row>
    <row r="43" spans="1:6" x14ac:dyDescent="0.35">
      <c r="C43" t="s">
        <v>560</v>
      </c>
    </row>
    <row r="44" spans="1:6" x14ac:dyDescent="0.35">
      <c r="C44" t="s">
        <v>248</v>
      </c>
    </row>
  </sheetData>
  <sortState xmlns:xlrd2="http://schemas.microsoft.com/office/spreadsheetml/2017/richdata2" ref="C13:C29">
    <sortCondition ref="C13"/>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8"/>
  <sheetViews>
    <sheetView view="pageLayout" zoomScaleNormal="100" workbookViewId="0">
      <selection activeCell="C10" sqref="C10"/>
    </sheetView>
  </sheetViews>
  <sheetFormatPr defaultColWidth="9.1796875" defaultRowHeight="12.5" x14ac:dyDescent="0.25"/>
  <cols>
    <col min="1" max="1" width="13.453125" style="4" customWidth="1"/>
    <col min="2" max="2" width="12.26953125" style="4" customWidth="1"/>
    <col min="3" max="3" width="14.7265625" style="4" customWidth="1"/>
    <col min="4" max="4" width="14.54296875" style="4" customWidth="1"/>
    <col min="5" max="5" width="11.1796875" style="4" customWidth="1"/>
    <col min="6" max="6" width="10.54296875" style="4" customWidth="1"/>
    <col min="7" max="7" width="13.1796875" style="4" customWidth="1"/>
    <col min="8" max="8" width="10.1796875" style="4" bestFit="1" customWidth="1"/>
    <col min="9" max="9" width="9.1796875" style="4" customWidth="1"/>
    <col min="10" max="16384" width="9.1796875" style="4"/>
  </cols>
  <sheetData>
    <row r="1" spans="1:10" x14ac:dyDescent="0.25">
      <c r="A1" s="274" t="s">
        <v>54</v>
      </c>
      <c r="B1" s="275"/>
      <c r="C1" s="275"/>
      <c r="D1" s="275"/>
      <c r="E1" s="275"/>
      <c r="F1" s="275"/>
      <c r="G1" s="82"/>
    </row>
    <row r="2" spans="1:10" x14ac:dyDescent="0.25">
      <c r="A2" s="276"/>
      <c r="B2" s="277"/>
      <c r="C2" s="277"/>
      <c r="D2" s="277"/>
      <c r="E2" s="277"/>
      <c r="F2" s="277"/>
      <c r="G2" s="6"/>
    </row>
    <row r="3" spans="1:10" ht="15" customHeight="1" x14ac:dyDescent="0.25">
      <c r="A3" s="242" t="s">
        <v>55</v>
      </c>
      <c r="B3" s="243"/>
      <c r="C3" s="243"/>
      <c r="D3" s="280"/>
      <c r="E3" s="280"/>
      <c r="F3" s="280"/>
      <c r="G3" s="281"/>
    </row>
    <row r="4" spans="1:10" ht="15" customHeight="1" x14ac:dyDescent="0.25">
      <c r="A4" s="83" t="s">
        <v>56</v>
      </c>
      <c r="B4" s="61"/>
      <c r="C4" s="84"/>
      <c r="D4" s="278" t="str">
        <f>IF(G2="","",IF(G2="Yes","Enter 1 Year 24 Hour Design Storm as P","Enter 90% Rainfall Event as P"))</f>
        <v/>
      </c>
      <c r="E4" s="278"/>
      <c r="F4" s="278"/>
      <c r="G4" s="278"/>
    </row>
    <row r="5" spans="1:10" ht="15" customHeight="1" x14ac:dyDescent="0.25">
      <c r="A5" s="85" t="s">
        <v>57</v>
      </c>
      <c r="B5" s="7"/>
      <c r="C5" s="223" t="s">
        <v>58</v>
      </c>
      <c r="D5" s="279"/>
      <c r="E5" s="279"/>
      <c r="F5" s="279"/>
      <c r="G5" s="279"/>
    </row>
    <row r="6" spans="1:10" ht="13" x14ac:dyDescent="0.3">
      <c r="A6" s="273" t="s">
        <v>59</v>
      </c>
      <c r="B6" s="273"/>
      <c r="C6" s="273"/>
      <c r="D6" s="273"/>
      <c r="E6" s="273"/>
      <c r="F6" s="273"/>
      <c r="G6" s="273"/>
    </row>
    <row r="7" spans="1:10" ht="45.25" customHeight="1" x14ac:dyDescent="0.25">
      <c r="A7" s="204" t="s">
        <v>60</v>
      </c>
      <c r="B7" s="205" t="s">
        <v>61</v>
      </c>
      <c r="C7" s="205" t="s">
        <v>62</v>
      </c>
      <c r="D7" s="205" t="s">
        <v>63</v>
      </c>
      <c r="E7" s="205" t="s">
        <v>64</v>
      </c>
      <c r="F7" s="205" t="s">
        <v>65</v>
      </c>
      <c r="G7" s="206" t="s">
        <v>66</v>
      </c>
      <c r="I7" s="5"/>
    </row>
    <row r="8" spans="1:10" x14ac:dyDescent="0.25">
      <c r="A8" s="198">
        <v>1</v>
      </c>
      <c r="B8" s="216"/>
      <c r="C8" s="214"/>
      <c r="D8" s="52" t="str">
        <f>IF(AND(B8="",C8=""),"",(C8/B8)*100)</f>
        <v/>
      </c>
      <c r="E8" s="3" t="str">
        <f>(IF(AND(B8="",C8=""),"",0.05+0.009*D8))</f>
        <v/>
      </c>
      <c r="F8" s="86" t="str">
        <f>IF(C8="","",IF(C8=0,0,IF(AND(B8="",C8=""),"",ROUND(((B8*$B$5*E8)/12)*43560,0))))</f>
        <v/>
      </c>
      <c r="G8" s="8"/>
      <c r="J8" s="5"/>
    </row>
    <row r="9" spans="1:10" x14ac:dyDescent="0.25">
      <c r="A9" s="198">
        <f>A8+1</f>
        <v>2</v>
      </c>
      <c r="B9" s="216"/>
      <c r="C9" s="214"/>
      <c r="D9" s="52" t="str">
        <f t="shared" ref="D9:D37" si="0">IF(AND(B9="",C9=""),"",(C9/B9)*100)</f>
        <v/>
      </c>
      <c r="E9" s="3" t="str">
        <f t="shared" ref="E9:E37" si="1">(IF(AND(B9="",C9=""),"",0.05+0.009*D9))</f>
        <v/>
      </c>
      <c r="F9" s="86" t="str">
        <f t="shared" ref="F9:F38" si="2">IF(C9="","",IF(C9=0,0,IF(AND(B9="",C9=""),"",ROUND(((B9*$B$5*E9)/12)*43560,0))))</f>
        <v/>
      </c>
      <c r="G9" s="8"/>
    </row>
    <row r="10" spans="1:10" x14ac:dyDescent="0.25">
      <c r="A10" s="198">
        <f t="shared" ref="A10:A37" si="3">A9+1</f>
        <v>3</v>
      </c>
      <c r="B10" s="216"/>
      <c r="C10" s="214"/>
      <c r="D10" s="52" t="str">
        <f t="shared" si="0"/>
        <v/>
      </c>
      <c r="E10" s="3" t="str">
        <f t="shared" si="1"/>
        <v/>
      </c>
      <c r="F10" s="86" t="str">
        <f t="shared" si="2"/>
        <v/>
      </c>
      <c r="G10" s="8"/>
    </row>
    <row r="11" spans="1:10" x14ac:dyDescent="0.25">
      <c r="A11" s="198">
        <f t="shared" si="3"/>
        <v>4</v>
      </c>
      <c r="B11" s="216"/>
      <c r="C11" s="214"/>
      <c r="D11" s="52" t="str">
        <f t="shared" si="0"/>
        <v/>
      </c>
      <c r="E11" s="3" t="str">
        <f t="shared" si="1"/>
        <v/>
      </c>
      <c r="F11" s="86" t="str">
        <f t="shared" si="2"/>
        <v/>
      </c>
      <c r="G11" s="8"/>
    </row>
    <row r="12" spans="1:10" x14ac:dyDescent="0.25">
      <c r="A12" s="198">
        <f t="shared" si="3"/>
        <v>5</v>
      </c>
      <c r="B12" s="216"/>
      <c r="C12" s="214"/>
      <c r="D12" s="52" t="str">
        <f t="shared" si="0"/>
        <v/>
      </c>
      <c r="E12" s="3" t="str">
        <f t="shared" si="1"/>
        <v/>
      </c>
      <c r="F12" s="86" t="str">
        <f t="shared" si="2"/>
        <v/>
      </c>
      <c r="G12" s="8"/>
    </row>
    <row r="13" spans="1:10" x14ac:dyDescent="0.25">
      <c r="A13" s="198">
        <f t="shared" si="3"/>
        <v>6</v>
      </c>
      <c r="B13" s="216"/>
      <c r="C13" s="214"/>
      <c r="D13" s="52" t="str">
        <f t="shared" si="0"/>
        <v/>
      </c>
      <c r="E13" s="3" t="str">
        <f t="shared" si="1"/>
        <v/>
      </c>
      <c r="F13" s="86" t="str">
        <f t="shared" si="2"/>
        <v/>
      </c>
      <c r="G13" s="8"/>
    </row>
    <row r="14" spans="1:10" x14ac:dyDescent="0.25">
      <c r="A14" s="198">
        <f t="shared" si="3"/>
        <v>7</v>
      </c>
      <c r="B14" s="216"/>
      <c r="C14" s="214"/>
      <c r="D14" s="52" t="str">
        <f t="shared" si="0"/>
        <v/>
      </c>
      <c r="E14" s="3" t="str">
        <f t="shared" si="1"/>
        <v/>
      </c>
      <c r="F14" s="86" t="str">
        <f t="shared" si="2"/>
        <v/>
      </c>
      <c r="G14" s="8"/>
    </row>
    <row r="15" spans="1:10" x14ac:dyDescent="0.25">
      <c r="A15" s="198">
        <f t="shared" si="3"/>
        <v>8</v>
      </c>
      <c r="B15" s="216"/>
      <c r="C15" s="214"/>
      <c r="D15" s="52" t="str">
        <f t="shared" si="0"/>
        <v/>
      </c>
      <c r="E15" s="3" t="str">
        <f t="shared" si="1"/>
        <v/>
      </c>
      <c r="F15" s="86" t="str">
        <f t="shared" si="2"/>
        <v/>
      </c>
      <c r="G15" s="8"/>
    </row>
    <row r="16" spans="1:10" ht="12.65" customHeight="1" x14ac:dyDescent="0.25">
      <c r="A16" s="198">
        <f t="shared" si="3"/>
        <v>9</v>
      </c>
      <c r="B16" s="216"/>
      <c r="C16" s="214"/>
      <c r="D16" s="52" t="str">
        <f t="shared" si="0"/>
        <v/>
      </c>
      <c r="E16" s="3" t="str">
        <f t="shared" si="1"/>
        <v/>
      </c>
      <c r="F16" s="86" t="str">
        <f t="shared" si="2"/>
        <v/>
      </c>
      <c r="G16" s="8"/>
    </row>
    <row r="17" spans="1:7" x14ac:dyDescent="0.25">
      <c r="A17" s="198">
        <f t="shared" si="3"/>
        <v>10</v>
      </c>
      <c r="B17" s="216"/>
      <c r="C17" s="214"/>
      <c r="D17" s="52" t="str">
        <f t="shared" si="0"/>
        <v/>
      </c>
      <c r="E17" s="3" t="str">
        <f t="shared" si="1"/>
        <v/>
      </c>
      <c r="F17" s="86" t="str">
        <f t="shared" si="2"/>
        <v/>
      </c>
      <c r="G17" s="8"/>
    </row>
    <row r="18" spans="1:7" ht="15" customHeight="1" x14ac:dyDescent="0.25">
      <c r="A18" s="198">
        <f t="shared" si="3"/>
        <v>11</v>
      </c>
      <c r="B18" s="216"/>
      <c r="C18" s="214"/>
      <c r="D18" s="52" t="str">
        <f t="shared" si="0"/>
        <v/>
      </c>
      <c r="E18" s="3" t="str">
        <f t="shared" si="1"/>
        <v/>
      </c>
      <c r="F18" s="86" t="str">
        <f t="shared" si="2"/>
        <v/>
      </c>
      <c r="G18" s="8"/>
    </row>
    <row r="19" spans="1:7" x14ac:dyDescent="0.25">
      <c r="A19" s="198">
        <f t="shared" si="3"/>
        <v>12</v>
      </c>
      <c r="B19" s="216"/>
      <c r="C19" s="214"/>
      <c r="D19" s="52" t="str">
        <f t="shared" si="0"/>
        <v/>
      </c>
      <c r="E19" s="3" t="str">
        <f t="shared" si="1"/>
        <v/>
      </c>
      <c r="F19" s="86" t="str">
        <f t="shared" si="2"/>
        <v/>
      </c>
      <c r="G19" s="8"/>
    </row>
    <row r="20" spans="1:7" x14ac:dyDescent="0.25">
      <c r="A20" s="198">
        <f t="shared" si="3"/>
        <v>13</v>
      </c>
      <c r="B20" s="216"/>
      <c r="C20" s="214"/>
      <c r="D20" s="52" t="str">
        <f t="shared" si="0"/>
        <v/>
      </c>
      <c r="E20" s="3" t="str">
        <f t="shared" si="1"/>
        <v/>
      </c>
      <c r="F20" s="86" t="str">
        <f t="shared" si="2"/>
        <v/>
      </c>
      <c r="G20" s="8"/>
    </row>
    <row r="21" spans="1:7" x14ac:dyDescent="0.25">
      <c r="A21" s="198">
        <f t="shared" si="3"/>
        <v>14</v>
      </c>
      <c r="B21" s="216"/>
      <c r="C21" s="214"/>
      <c r="D21" s="52" t="str">
        <f t="shared" si="0"/>
        <v/>
      </c>
      <c r="E21" s="3" t="str">
        <f t="shared" si="1"/>
        <v/>
      </c>
      <c r="F21" s="86" t="str">
        <f t="shared" si="2"/>
        <v/>
      </c>
      <c r="G21" s="8"/>
    </row>
    <row r="22" spans="1:7" x14ac:dyDescent="0.25">
      <c r="A22" s="198">
        <f t="shared" si="3"/>
        <v>15</v>
      </c>
      <c r="B22" s="216"/>
      <c r="C22" s="214"/>
      <c r="D22" s="52" t="str">
        <f t="shared" si="0"/>
        <v/>
      </c>
      <c r="E22" s="3" t="str">
        <f t="shared" si="1"/>
        <v/>
      </c>
      <c r="F22" s="86" t="str">
        <f t="shared" si="2"/>
        <v/>
      </c>
      <c r="G22" s="8"/>
    </row>
    <row r="23" spans="1:7" x14ac:dyDescent="0.25">
      <c r="A23" s="198">
        <f t="shared" si="3"/>
        <v>16</v>
      </c>
      <c r="B23" s="216"/>
      <c r="C23" s="214"/>
      <c r="D23" s="52" t="str">
        <f t="shared" si="0"/>
        <v/>
      </c>
      <c r="E23" s="3" t="str">
        <f t="shared" si="1"/>
        <v/>
      </c>
      <c r="F23" s="86" t="str">
        <f t="shared" si="2"/>
        <v/>
      </c>
      <c r="G23" s="8"/>
    </row>
    <row r="24" spans="1:7" x14ac:dyDescent="0.25">
      <c r="A24" s="198">
        <f t="shared" si="3"/>
        <v>17</v>
      </c>
      <c r="B24" s="216"/>
      <c r="C24" s="214"/>
      <c r="D24" s="52" t="str">
        <f t="shared" si="0"/>
        <v/>
      </c>
      <c r="E24" s="3" t="str">
        <f t="shared" si="1"/>
        <v/>
      </c>
      <c r="F24" s="86" t="str">
        <f t="shared" si="2"/>
        <v/>
      </c>
      <c r="G24" s="8"/>
    </row>
    <row r="25" spans="1:7" x14ac:dyDescent="0.25">
      <c r="A25" s="198">
        <f t="shared" si="3"/>
        <v>18</v>
      </c>
      <c r="B25" s="216"/>
      <c r="C25" s="214"/>
      <c r="D25" s="52" t="str">
        <f t="shared" si="0"/>
        <v/>
      </c>
      <c r="E25" s="3" t="str">
        <f t="shared" si="1"/>
        <v/>
      </c>
      <c r="F25" s="86" t="str">
        <f t="shared" si="2"/>
        <v/>
      </c>
      <c r="G25" s="8"/>
    </row>
    <row r="26" spans="1:7" x14ac:dyDescent="0.25">
      <c r="A26" s="198">
        <f t="shared" si="3"/>
        <v>19</v>
      </c>
      <c r="B26" s="216"/>
      <c r="C26" s="214"/>
      <c r="D26" s="52" t="str">
        <f t="shared" si="0"/>
        <v/>
      </c>
      <c r="E26" s="3" t="str">
        <f t="shared" si="1"/>
        <v/>
      </c>
      <c r="F26" s="86" t="str">
        <f t="shared" si="2"/>
        <v/>
      </c>
      <c r="G26" s="8"/>
    </row>
    <row r="27" spans="1:7" x14ac:dyDescent="0.25">
      <c r="A27" s="198">
        <f t="shared" si="3"/>
        <v>20</v>
      </c>
      <c r="B27" s="216"/>
      <c r="C27" s="214"/>
      <c r="D27" s="52" t="str">
        <f t="shared" si="0"/>
        <v/>
      </c>
      <c r="E27" s="3" t="str">
        <f t="shared" si="1"/>
        <v/>
      </c>
      <c r="F27" s="86" t="str">
        <f t="shared" si="2"/>
        <v/>
      </c>
      <c r="G27" s="8"/>
    </row>
    <row r="28" spans="1:7" x14ac:dyDescent="0.25">
      <c r="A28" s="198">
        <f t="shared" si="3"/>
        <v>21</v>
      </c>
      <c r="B28" s="216"/>
      <c r="C28" s="214"/>
      <c r="D28" s="52" t="str">
        <f t="shared" si="0"/>
        <v/>
      </c>
      <c r="E28" s="3" t="str">
        <f t="shared" si="1"/>
        <v/>
      </c>
      <c r="F28" s="86" t="str">
        <f t="shared" si="2"/>
        <v/>
      </c>
      <c r="G28" s="8"/>
    </row>
    <row r="29" spans="1:7" x14ac:dyDescent="0.25">
      <c r="A29" s="198">
        <f t="shared" si="3"/>
        <v>22</v>
      </c>
      <c r="B29" s="216"/>
      <c r="C29" s="214"/>
      <c r="D29" s="52" t="str">
        <f t="shared" si="0"/>
        <v/>
      </c>
      <c r="E29" s="3" t="str">
        <f t="shared" si="1"/>
        <v/>
      </c>
      <c r="F29" s="86" t="str">
        <f t="shared" si="2"/>
        <v/>
      </c>
      <c r="G29" s="8"/>
    </row>
    <row r="30" spans="1:7" x14ac:dyDescent="0.25">
      <c r="A30" s="198">
        <f t="shared" si="3"/>
        <v>23</v>
      </c>
      <c r="B30" s="216"/>
      <c r="C30" s="214"/>
      <c r="D30" s="52" t="str">
        <f t="shared" si="0"/>
        <v/>
      </c>
      <c r="E30" s="3" t="str">
        <f t="shared" si="1"/>
        <v/>
      </c>
      <c r="F30" s="86" t="str">
        <f t="shared" si="2"/>
        <v/>
      </c>
      <c r="G30" s="8"/>
    </row>
    <row r="31" spans="1:7" x14ac:dyDescent="0.25">
      <c r="A31" s="198">
        <f t="shared" si="3"/>
        <v>24</v>
      </c>
      <c r="B31" s="216"/>
      <c r="C31" s="214"/>
      <c r="D31" s="52" t="str">
        <f t="shared" si="0"/>
        <v/>
      </c>
      <c r="E31" s="3" t="str">
        <f t="shared" si="1"/>
        <v/>
      </c>
      <c r="F31" s="86" t="str">
        <f t="shared" si="2"/>
        <v/>
      </c>
      <c r="G31" s="8"/>
    </row>
    <row r="32" spans="1:7" x14ac:dyDescent="0.25">
      <c r="A32" s="198">
        <f t="shared" si="3"/>
        <v>25</v>
      </c>
      <c r="B32" s="216"/>
      <c r="C32" s="214"/>
      <c r="D32" s="52" t="str">
        <f t="shared" si="0"/>
        <v/>
      </c>
      <c r="E32" s="3" t="str">
        <f t="shared" si="1"/>
        <v/>
      </c>
      <c r="F32" s="86" t="str">
        <f t="shared" si="2"/>
        <v/>
      </c>
      <c r="G32" s="8"/>
    </row>
    <row r="33" spans="1:9" x14ac:dyDescent="0.25">
      <c r="A33" s="198">
        <f t="shared" si="3"/>
        <v>26</v>
      </c>
      <c r="B33" s="216"/>
      <c r="C33" s="214"/>
      <c r="D33" s="52" t="str">
        <f t="shared" si="0"/>
        <v/>
      </c>
      <c r="E33" s="3" t="str">
        <f t="shared" si="1"/>
        <v/>
      </c>
      <c r="F33" s="86" t="str">
        <f t="shared" si="2"/>
        <v/>
      </c>
      <c r="G33" s="8"/>
    </row>
    <row r="34" spans="1:9" x14ac:dyDescent="0.25">
      <c r="A34" s="198">
        <f t="shared" si="3"/>
        <v>27</v>
      </c>
      <c r="B34" s="216"/>
      <c r="C34" s="214"/>
      <c r="D34" s="52" t="str">
        <f t="shared" si="0"/>
        <v/>
      </c>
      <c r="E34" s="3" t="str">
        <f t="shared" si="1"/>
        <v/>
      </c>
      <c r="F34" s="86" t="str">
        <f t="shared" si="2"/>
        <v/>
      </c>
      <c r="G34" s="8"/>
    </row>
    <row r="35" spans="1:9" x14ac:dyDescent="0.25">
      <c r="A35" s="198">
        <f t="shared" si="3"/>
        <v>28</v>
      </c>
      <c r="B35" s="216"/>
      <c r="C35" s="214"/>
      <c r="D35" s="52" t="str">
        <f t="shared" si="0"/>
        <v/>
      </c>
      <c r="E35" s="3" t="str">
        <f t="shared" si="1"/>
        <v/>
      </c>
      <c r="F35" s="86" t="str">
        <f t="shared" si="2"/>
        <v/>
      </c>
      <c r="G35" s="8"/>
    </row>
    <row r="36" spans="1:9" x14ac:dyDescent="0.25">
      <c r="A36" s="198">
        <f t="shared" si="3"/>
        <v>29</v>
      </c>
      <c r="B36" s="216"/>
      <c r="C36" s="214"/>
      <c r="D36" s="52" t="str">
        <f t="shared" si="0"/>
        <v/>
      </c>
      <c r="E36" s="3" t="str">
        <f t="shared" si="1"/>
        <v/>
      </c>
      <c r="F36" s="86" t="str">
        <f t="shared" si="2"/>
        <v/>
      </c>
      <c r="G36" s="8"/>
    </row>
    <row r="37" spans="1:9" x14ac:dyDescent="0.25">
      <c r="A37" s="198">
        <f t="shared" si="3"/>
        <v>30</v>
      </c>
      <c r="B37" s="216"/>
      <c r="C37" s="214"/>
      <c r="D37" s="52" t="str">
        <f t="shared" si="0"/>
        <v/>
      </c>
      <c r="E37" s="3" t="str">
        <f t="shared" si="1"/>
        <v/>
      </c>
      <c r="F37" s="86" t="str">
        <f t="shared" si="2"/>
        <v/>
      </c>
      <c r="G37" s="8"/>
    </row>
    <row r="38" spans="1:9" ht="13" x14ac:dyDescent="0.3">
      <c r="A38" s="225" t="s">
        <v>67</v>
      </c>
      <c r="B38" s="3" t="str">
        <f>IF(B5="","",SUM(B8:B37))</f>
        <v/>
      </c>
      <c r="C38" s="3" t="str">
        <f>IF(B5="","",SUM(C8:C37))</f>
        <v/>
      </c>
      <c r="D38" s="52" t="str">
        <f>IF(B5="","",(C38/B38)*100)</f>
        <v/>
      </c>
      <c r="E38" s="3" t="str">
        <f>IF(B5="","",(IF(AND(B38="",C38=""),"",0.05+0.009*D38)))</f>
        <v/>
      </c>
      <c r="F38" s="87" t="str">
        <f t="shared" si="2"/>
        <v/>
      </c>
      <c r="G38" s="87" t="s">
        <v>68</v>
      </c>
      <c r="H38" s="88" t="str">
        <f>IF(F38="","",F38/43560)</f>
        <v/>
      </c>
      <c r="I38" s="89" t="s">
        <v>3</v>
      </c>
    </row>
  </sheetData>
  <sheetProtection algorithmName="SHA-512" hashValue="GqEmU66jSczzf5Fsvzli3QngtWbSpkZ9hjvg1+s38tRMX6DIFRoaQsRKBjKMUWczk9CfNC4w9yo82OeuvYBXRw==" saltValue="Z7RX7cIEizDPOwFJLG8byw==" spinCount="100000" sheet="1" formatColumns="0" formatRows="0"/>
  <mergeCells count="5">
    <mergeCell ref="A6:G6"/>
    <mergeCell ref="A1:F2"/>
    <mergeCell ref="D4:G5"/>
    <mergeCell ref="D3:G3"/>
    <mergeCell ref="A3:C3"/>
  </mergeCells>
  <dataValidations count="2">
    <dataValidation type="list" allowBlank="1" showInputMessage="1" showErrorMessage="1" sqref="G2" xr:uid="{00000000-0002-0000-0000-000001000000}">
      <formula1>YesNo</formula1>
    </dataValidation>
    <dataValidation type="decimal" operator="greaterThan" allowBlank="1" showInputMessage="1" showErrorMessage="1" sqref="B5 B8:C37" xr:uid="{FE142085-9CFA-4CC3-83C9-934D6438C002}">
      <formula1>0</formula1>
    </dataValidation>
  </dataValidations>
  <pageMargins left="0.5" right="0.5" top="0.75" bottom="0.5" header="0.3" footer="0.3"/>
  <pageSetup paperSize="278" orientation="portrait" r:id="rId1"/>
  <headerFooter>
    <oddHeader>&amp;C&amp;"Arial,Regular"&amp;18Step 2 - Calculate Water Quality Volume</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392A4C7-A359-4315-8FB6-EB7916316195}">
          <x14:formula1>
            <xm:f>Reference!$A$69:$A$71</xm:f>
          </x14:formula1>
          <xm:sqref>D3</xm:sqref>
        </x14:dataValidation>
        <x14:dataValidation type="list" allowBlank="1" showInputMessage="1" showErrorMessage="1" xr:uid="{278505EA-2DFE-41BB-9FA7-FA0890CF55F9}">
          <x14:formula1>
            <xm:f>Reference!$A$18:$A$54</xm:f>
          </x14:formula1>
          <xm:sqref>G8:G37</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
  <sheetViews>
    <sheetView workbookViewId="0"/>
  </sheetViews>
  <sheetFormatPr defaultRowHeight="14.5" x14ac:dyDescent="0.3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89024-B959-414B-93D0-76DFAE31CBBC}">
  <dimension ref="A1:P280"/>
  <sheetViews>
    <sheetView view="pageLayout" zoomScaleNormal="100" workbookViewId="0">
      <selection activeCell="P7" sqref="P7:P12"/>
    </sheetView>
  </sheetViews>
  <sheetFormatPr defaultColWidth="9.1796875" defaultRowHeight="12.5" x14ac:dyDescent="0.25"/>
  <cols>
    <col min="1" max="2" width="12.7265625" style="4" customWidth="1"/>
    <col min="3" max="3" width="11.453125" style="4" customWidth="1"/>
    <col min="4" max="4" width="10.81640625" style="4" customWidth="1"/>
    <col min="5" max="5" width="6.453125" style="4" customWidth="1"/>
    <col min="6" max="6" width="8.54296875" style="4" customWidth="1"/>
    <col min="7" max="7" width="12.54296875" style="4" customWidth="1"/>
    <col min="8" max="8" width="15.26953125" style="4" customWidth="1"/>
    <col min="9" max="9" width="14" style="4" customWidth="1"/>
    <col min="10" max="13" width="9.1796875" style="4" hidden="1" customWidth="1"/>
    <col min="14" max="14" width="12.1796875" style="4" bestFit="1" customWidth="1"/>
    <col min="15" max="16384" width="9.1796875" style="4"/>
  </cols>
  <sheetData>
    <row r="1" spans="1:16" s="34" customFormat="1" ht="15" customHeight="1" x14ac:dyDescent="0.3">
      <c r="A1" s="24" t="s">
        <v>56</v>
      </c>
      <c r="B1" s="23" t="str">
        <f>IF('STEP 2-WQv Calculation'!$B$4="","",'STEP 2-WQv Calculation'!$B$4)</f>
        <v/>
      </c>
      <c r="C1" s="31"/>
      <c r="D1" s="31"/>
      <c r="E1" s="32"/>
      <c r="F1" s="33"/>
      <c r="G1" s="33"/>
      <c r="H1" s="33"/>
    </row>
    <row r="2" spans="1:16" ht="15" customHeight="1" x14ac:dyDescent="0.25">
      <c r="A2" s="331" t="s">
        <v>293</v>
      </c>
      <c r="B2" s="332"/>
      <c r="C2" s="332"/>
      <c r="D2" s="332"/>
      <c r="E2" s="332"/>
      <c r="F2" s="332"/>
      <c r="G2" s="332"/>
      <c r="H2" s="333"/>
      <c r="I2" s="255" t="s">
        <v>219</v>
      </c>
      <c r="J2" s="256"/>
      <c r="K2" s="256"/>
      <c r="L2" s="256"/>
      <c r="M2" s="256"/>
      <c r="N2" s="256"/>
      <c r="O2" s="49">
        <f>SUM(B4,B32,B60,B88,B116,B144,B172,B200,B228,B256)</f>
        <v>0</v>
      </c>
      <c r="P2" s="12" t="s">
        <v>223</v>
      </c>
    </row>
    <row r="3" spans="1:16" s="34" customFormat="1" ht="46.75" customHeight="1" x14ac:dyDescent="0.3">
      <c r="A3" s="204" t="s">
        <v>60</v>
      </c>
      <c r="B3" s="205" t="s">
        <v>61</v>
      </c>
      <c r="C3" s="205" t="s">
        <v>62</v>
      </c>
      <c r="D3" s="205" t="s">
        <v>63</v>
      </c>
      <c r="E3" s="205" t="s">
        <v>64</v>
      </c>
      <c r="F3" s="205" t="s">
        <v>65</v>
      </c>
      <c r="G3" s="205" t="s">
        <v>244</v>
      </c>
      <c r="H3" s="206" t="s">
        <v>13</v>
      </c>
      <c r="I3" s="255" t="s">
        <v>245</v>
      </c>
      <c r="J3" s="256"/>
      <c r="K3" s="256"/>
      <c r="L3" s="256"/>
      <c r="M3" s="256"/>
      <c r="N3" s="256"/>
      <c r="O3" s="21">
        <f>SUM(C4,C32,C60,C88,C116,C144,C172,C200,C228,C256)</f>
        <v>0</v>
      </c>
      <c r="P3" s="12" t="s">
        <v>223</v>
      </c>
    </row>
    <row r="4" spans="1:16" ht="30.2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56"/>
      <c r="L4" s="256"/>
      <c r="M4" s="256"/>
      <c r="N4" s="256"/>
      <c r="O4" s="28">
        <f>SUM(C27,C55,C83,C111,C139,C167,C195,C223,C251,C279)</f>
        <v>0</v>
      </c>
      <c r="P4" s="12" t="s">
        <v>2</v>
      </c>
    </row>
    <row r="5" spans="1:16" ht="15" customHeight="1" x14ac:dyDescent="0.25">
      <c r="A5" s="236" t="s">
        <v>226</v>
      </c>
      <c r="B5" s="237"/>
      <c r="C5" s="237"/>
      <c r="D5" s="237"/>
      <c r="E5" s="237"/>
      <c r="F5" s="237"/>
      <c r="G5" s="237"/>
      <c r="H5" s="238"/>
      <c r="I5" s="413" t="s">
        <v>447</v>
      </c>
      <c r="J5" s="414"/>
      <c r="K5" s="414"/>
      <c r="L5" s="414"/>
      <c r="M5" s="414"/>
      <c r="N5" s="414"/>
      <c r="O5" s="28">
        <f>SUM(C28,C56,C84,C112,C140,C168,C196,C224,C252,C280)</f>
        <v>0</v>
      </c>
      <c r="P5" s="12" t="s">
        <v>2</v>
      </c>
    </row>
    <row r="6" spans="1:16" s="1" customFormat="1" ht="30" customHeight="1" x14ac:dyDescent="0.35">
      <c r="A6" s="242" t="s">
        <v>295</v>
      </c>
      <c r="B6" s="243"/>
      <c r="C6" s="244"/>
      <c r="D6" s="44"/>
      <c r="E6" s="322" t="str">
        <f>IF(D6="","",IF(D6&lt;0.5,"Underdrains required",""))</f>
        <v/>
      </c>
      <c r="F6" s="323"/>
      <c r="G6" s="323"/>
      <c r="H6" s="324"/>
      <c r="I6" s="4"/>
    </row>
    <row r="7" spans="1:16" s="1" customFormat="1" ht="26.5" customHeight="1" x14ac:dyDescent="0.35">
      <c r="A7" s="242" t="s">
        <v>588</v>
      </c>
      <c r="B7" s="243"/>
      <c r="C7" s="244"/>
      <c r="D7" s="211"/>
      <c r="E7" s="322" t="str">
        <f>IF(D7="Yes","Impermeable liner and underdrains required","")</f>
        <v/>
      </c>
      <c r="F7" s="323"/>
      <c r="G7" s="323"/>
      <c r="H7" s="324"/>
      <c r="I7" s="4"/>
    </row>
    <row r="8" spans="1:16" s="1" customFormat="1" ht="27" customHeight="1" x14ac:dyDescent="0.35">
      <c r="A8" s="242" t="s">
        <v>589</v>
      </c>
      <c r="B8" s="243"/>
      <c r="C8" s="244"/>
      <c r="D8" s="211"/>
      <c r="E8" s="322" t="str">
        <f>IF(D8="","Refer to Section 4.14 Stormwater Hotspots",IF(D8="Yes","Credit for RRv and WQv treated cannot be applied to first practice in series",""))</f>
        <v>Refer to Section 4.14 Stormwater Hotspots</v>
      </c>
      <c r="F8" s="323"/>
      <c r="G8" s="323"/>
      <c r="H8" s="324"/>
      <c r="I8" s="4"/>
    </row>
    <row r="9" spans="1:16" s="1" customFormat="1" ht="26.25" customHeight="1" x14ac:dyDescent="0.35">
      <c r="A9" s="242" t="s">
        <v>494</v>
      </c>
      <c r="B9" s="243"/>
      <c r="C9" s="244"/>
      <c r="D9" s="158" t="str">
        <f>IF(B4="","",IF(B4&gt;5,"Yes","No"))</f>
        <v/>
      </c>
      <c r="E9" s="322" t="str">
        <f>IF(D9="Yes","Does not meet design criteria","")</f>
        <v/>
      </c>
      <c r="F9" s="323"/>
      <c r="G9" s="323"/>
      <c r="H9" s="324"/>
      <c r="I9" s="4"/>
    </row>
    <row r="10" spans="1:16" s="1" customFormat="1" ht="13.9" customHeight="1" x14ac:dyDescent="0.35">
      <c r="A10" s="242" t="s">
        <v>296</v>
      </c>
      <c r="B10" s="243"/>
      <c r="C10" s="244"/>
      <c r="D10" s="43"/>
      <c r="E10" s="322" t="str">
        <f>IF(D10="","",IF(D10&lt;2,"Impermeable liner and underdrains required",""))</f>
        <v/>
      </c>
      <c r="F10" s="323"/>
      <c r="G10" s="323"/>
      <c r="H10" s="324"/>
      <c r="I10" s="4"/>
    </row>
    <row r="11" spans="1:16" s="1" customFormat="1" ht="13.9" customHeight="1" x14ac:dyDescent="0.35">
      <c r="A11" s="242" t="s">
        <v>297</v>
      </c>
      <c r="B11" s="243"/>
      <c r="C11" s="244"/>
      <c r="D11" s="43"/>
      <c r="E11" s="322" t="str">
        <f>IF(D11="","",IF(D11&lt;2,"Impermeable liner and underdrains required",""))</f>
        <v/>
      </c>
      <c r="F11" s="323"/>
      <c r="G11" s="323"/>
      <c r="H11" s="324"/>
      <c r="I11" s="4"/>
    </row>
    <row r="12" spans="1:16" s="1" customFormat="1" ht="26.5" customHeight="1" x14ac:dyDescent="0.35">
      <c r="A12" s="242" t="s">
        <v>710</v>
      </c>
      <c r="B12" s="243"/>
      <c r="C12" s="244"/>
      <c r="D12" s="211"/>
      <c r="E12" s="322" t="str">
        <f>IF(D12="No","Does not meet design criteria","")</f>
        <v/>
      </c>
      <c r="F12" s="323"/>
      <c r="G12" s="323"/>
      <c r="H12" s="324"/>
      <c r="I12" s="4"/>
    </row>
    <row r="13" spans="1:16" s="1" customFormat="1" ht="13.9" customHeight="1" x14ac:dyDescent="0.35">
      <c r="A13" s="242" t="s">
        <v>559</v>
      </c>
      <c r="B13" s="243"/>
      <c r="C13" s="244"/>
      <c r="D13" s="43"/>
      <c r="E13" s="322" t="str">
        <f>IF(D13="","",IF(D13&gt;0.5,"Does not meet design criteria",""))</f>
        <v/>
      </c>
      <c r="F13" s="323"/>
      <c r="G13" s="323"/>
      <c r="H13" s="324"/>
      <c r="I13" s="4"/>
    </row>
    <row r="14" spans="1:16" s="1" customFormat="1" ht="13.9" customHeight="1" x14ac:dyDescent="0.35">
      <c r="A14" s="242" t="s">
        <v>378</v>
      </c>
      <c r="B14" s="243"/>
      <c r="C14" s="244"/>
      <c r="D14" s="43"/>
      <c r="E14" s="322" t="str">
        <f>IF(D14="","",IF(D14&lt;3,"Does not meet design criteria",""))</f>
        <v/>
      </c>
      <c r="F14" s="323"/>
      <c r="G14" s="323"/>
      <c r="H14" s="324"/>
      <c r="I14" s="4"/>
    </row>
    <row r="15" spans="1:16" s="1" customFormat="1" ht="13.9" customHeight="1" x14ac:dyDescent="0.35">
      <c r="A15" s="242" t="s">
        <v>558</v>
      </c>
      <c r="B15" s="243"/>
      <c r="C15" s="244"/>
      <c r="D15" s="43"/>
      <c r="E15" s="322" t="str">
        <f>IF(D15="","",IF(D15&gt;4,"Does not meet design criteria",IF(D15&lt;2.5,"Does not meet design criteria","")))</f>
        <v/>
      </c>
      <c r="F15" s="323"/>
      <c r="G15" s="323"/>
      <c r="H15" s="324"/>
      <c r="I15" s="4"/>
    </row>
    <row r="16" spans="1:16" s="1" customFormat="1" ht="13.9" customHeight="1" x14ac:dyDescent="0.35">
      <c r="A16" s="242" t="s">
        <v>402</v>
      </c>
      <c r="B16" s="243"/>
      <c r="C16" s="244"/>
      <c r="D16" s="43"/>
      <c r="E16" s="322" t="str">
        <f>IF(D16="","",IF(D16&lt;10,"Does not meet design criteria",""))</f>
        <v/>
      </c>
      <c r="F16" s="323"/>
      <c r="G16" s="323"/>
      <c r="H16" s="324"/>
      <c r="I16" s="4"/>
    </row>
    <row r="17" spans="1:16" s="1" customFormat="1" ht="13.9" customHeight="1" x14ac:dyDescent="0.35">
      <c r="A17" s="242" t="s">
        <v>520</v>
      </c>
      <c r="B17" s="243"/>
      <c r="C17" s="244"/>
      <c r="D17" s="43"/>
      <c r="E17" s="322" t="str">
        <f>IF(D17&gt;15,"Does not meet design criteria","")</f>
        <v/>
      </c>
      <c r="F17" s="323"/>
      <c r="G17" s="323"/>
      <c r="H17" s="324"/>
      <c r="I17" s="4"/>
    </row>
    <row r="18" spans="1:16" s="1" customFormat="1" ht="13.9" customHeight="1" x14ac:dyDescent="0.35">
      <c r="A18" s="242" t="s">
        <v>521</v>
      </c>
      <c r="B18" s="243"/>
      <c r="C18" s="244"/>
      <c r="D18" s="43"/>
      <c r="E18" s="322" t="str">
        <f>IF(D18="","",IF(D18&lt;12,"Does not meet design criteria",""))</f>
        <v/>
      </c>
      <c r="F18" s="323"/>
      <c r="G18" s="323"/>
      <c r="H18" s="324"/>
      <c r="I18" s="4"/>
    </row>
    <row r="19" spans="1:16" ht="15" customHeight="1" x14ac:dyDescent="0.25">
      <c r="A19" s="236" t="s">
        <v>232</v>
      </c>
      <c r="B19" s="237"/>
      <c r="C19" s="237"/>
      <c r="D19" s="237"/>
      <c r="E19" s="237"/>
      <c r="F19" s="237"/>
      <c r="G19" s="237"/>
      <c r="H19" s="238"/>
    </row>
    <row r="20" spans="1:16" s="34" customFormat="1" ht="15" customHeight="1" x14ac:dyDescent="0.3">
      <c r="A20" s="35"/>
      <c r="B20" s="36"/>
      <c r="C20" s="36"/>
      <c r="D20" s="37"/>
      <c r="E20" s="302" t="s">
        <v>256</v>
      </c>
      <c r="F20" s="302"/>
      <c r="G20" s="38" t="s">
        <v>257</v>
      </c>
      <c r="H20" s="38" t="s">
        <v>258</v>
      </c>
      <c r="I20" s="4"/>
      <c r="J20" s="4"/>
      <c r="K20" s="4"/>
      <c r="L20" s="4"/>
      <c r="M20" s="4"/>
      <c r="N20" s="4"/>
      <c r="O20" s="4"/>
      <c r="P20" s="4"/>
    </row>
    <row r="21" spans="1:16" ht="15" customHeight="1" x14ac:dyDescent="0.25">
      <c r="A21" s="266" t="s">
        <v>306</v>
      </c>
      <c r="B21" s="267"/>
      <c r="C21" s="268"/>
      <c r="D21" s="198" t="s">
        <v>307</v>
      </c>
      <c r="E21" s="289">
        <v>1</v>
      </c>
      <c r="F21" s="289"/>
      <c r="G21" s="193" t="s">
        <v>308</v>
      </c>
      <c r="H21" s="219" t="str">
        <f>IF(E21&gt;1,"Sizing as Filter","")</f>
        <v/>
      </c>
    </row>
    <row r="22" spans="1:16" ht="15" customHeight="1" x14ac:dyDescent="0.25">
      <c r="A22" s="289" t="s">
        <v>388</v>
      </c>
      <c r="B22" s="289"/>
      <c r="C22" s="289"/>
      <c r="D22" s="198" t="s">
        <v>312</v>
      </c>
      <c r="E22" s="289">
        <v>2</v>
      </c>
      <c r="F22" s="289"/>
      <c r="G22" s="193" t="s">
        <v>313</v>
      </c>
      <c r="H22" s="192"/>
    </row>
    <row r="23" spans="1:16" ht="15" customHeight="1" x14ac:dyDescent="0.25">
      <c r="A23" s="266" t="s">
        <v>381</v>
      </c>
      <c r="B23" s="267"/>
      <c r="C23" s="268"/>
      <c r="D23" s="198" t="s">
        <v>315</v>
      </c>
      <c r="E23" s="308" t="e">
        <f>ROUND((F4*D15)/(E21*(D13+D15)*E22),0)</f>
        <v>#VALUE!</v>
      </c>
      <c r="F23" s="308"/>
      <c r="G23" s="193" t="s">
        <v>316</v>
      </c>
      <c r="H23" s="192"/>
    </row>
    <row r="24" spans="1:16" ht="30" customHeight="1" x14ac:dyDescent="0.25">
      <c r="A24" s="266" t="s">
        <v>382</v>
      </c>
      <c r="B24" s="267"/>
      <c r="C24" s="268"/>
      <c r="D24" s="198" t="s">
        <v>315</v>
      </c>
      <c r="E24" s="336"/>
      <c r="F24" s="336"/>
      <c r="G24" s="193" t="s">
        <v>316</v>
      </c>
      <c r="H24" s="219" t="str">
        <f>IF(E24="","",IF(E24&lt;E23,"Does not meet sizing criteria",""))</f>
        <v/>
      </c>
    </row>
    <row r="25" spans="1:16" ht="30" customHeight="1" x14ac:dyDescent="0.25">
      <c r="A25" s="266" t="s">
        <v>383</v>
      </c>
      <c r="B25" s="267"/>
      <c r="C25" s="268"/>
      <c r="D25" s="198" t="s">
        <v>384</v>
      </c>
      <c r="E25" s="266" t="str">
        <f>IF(E24="","",(E24*(E21*(D13+D15)*E22))/D15)</f>
        <v/>
      </c>
      <c r="F25" s="268"/>
      <c r="G25" s="193" t="s">
        <v>2</v>
      </c>
      <c r="H25" s="219" t="str">
        <f>IF(E25="","",IF(E24&gt;E25,"Does not meet sizing criteria",""))</f>
        <v/>
      </c>
    </row>
    <row r="26" spans="1:16" ht="15" customHeight="1" x14ac:dyDescent="0.25">
      <c r="A26" s="236" t="s">
        <v>276</v>
      </c>
      <c r="B26" s="237"/>
      <c r="C26" s="237"/>
      <c r="D26" s="237"/>
      <c r="E26" s="237"/>
      <c r="F26" s="237"/>
      <c r="G26" s="237"/>
      <c r="H26" s="238"/>
    </row>
    <row r="27" spans="1:16" s="34" customFormat="1" ht="30.25" customHeight="1" x14ac:dyDescent="0.3">
      <c r="A27" s="335" t="s">
        <v>241</v>
      </c>
      <c r="B27" s="335"/>
      <c r="C27" s="9" t="str">
        <f>IF(A4="","",IF(D8="Yes",0,IF(D9="Yes",0,IF(D12="No",0,IF(D13&gt;0.5,0,IF(D14&lt;3,0,IF(D15&lt;2.5,0,IF(D15&gt;4,0,IF(D16&lt;10,0,IF(D17&gt;15,0,IF(D18&lt;12,0,IF(E24&lt;E23,0,IF(AND(E24&gt;=E23,E25*0.4&lt;F4),E25*0.4,IF(AND(E24&gt;=E23,E25*0.4&gt;F4),F4))))))))))))))</f>
        <v/>
      </c>
      <c r="D27" s="339" t="s">
        <v>2</v>
      </c>
      <c r="E27" s="340"/>
      <c r="F27" s="340"/>
      <c r="G27" s="340"/>
      <c r="H27" s="341"/>
      <c r="I27" s="4"/>
      <c r="J27" s="4"/>
      <c r="K27" s="4"/>
      <c r="L27" s="4"/>
      <c r="M27" s="4"/>
      <c r="N27" s="4"/>
      <c r="O27" s="4"/>
      <c r="P27" s="4"/>
    </row>
    <row r="28" spans="1:16" ht="30.25" customHeight="1" x14ac:dyDescent="0.25">
      <c r="A28" s="392" t="s">
        <v>74</v>
      </c>
      <c r="B28" s="392"/>
      <c r="C28" s="157" t="str">
        <f>IF(A4="","",IF(D8="Yes",0,IF(C27=0,0,IF(E24&lt;E23,0,F4-C27))))</f>
        <v/>
      </c>
      <c r="D28" s="223" t="s">
        <v>2</v>
      </c>
      <c r="E28" s="417" t="s">
        <v>590</v>
      </c>
      <c r="F28" s="418"/>
      <c r="G28" s="418"/>
      <c r="H28" s="419"/>
    </row>
    <row r="29" spans="1:16" ht="13" x14ac:dyDescent="0.3">
      <c r="A29" s="24" t="s">
        <v>56</v>
      </c>
      <c r="B29" s="23" t="str">
        <f>IF('STEP 2-WQv Calculation'!$B$4="","",'STEP 2-WQv Calculation'!$B$4)</f>
        <v/>
      </c>
      <c r="C29" s="31"/>
      <c r="D29" s="31"/>
      <c r="E29" s="32"/>
      <c r="F29" s="33"/>
      <c r="G29" s="33"/>
      <c r="H29" s="33"/>
    </row>
    <row r="30" spans="1:16" ht="15" customHeight="1" x14ac:dyDescent="0.25">
      <c r="A30" s="331" t="s">
        <v>293</v>
      </c>
      <c r="B30" s="332"/>
      <c r="C30" s="332"/>
      <c r="D30" s="332"/>
      <c r="E30" s="332"/>
      <c r="F30" s="332"/>
      <c r="G30" s="332"/>
      <c r="H30" s="333"/>
    </row>
    <row r="31" spans="1:16" ht="38.5" x14ac:dyDescent="0.25">
      <c r="A31" s="204" t="s">
        <v>60</v>
      </c>
      <c r="B31" s="205" t="s">
        <v>61</v>
      </c>
      <c r="C31" s="205" t="s">
        <v>62</v>
      </c>
      <c r="D31" s="205" t="s">
        <v>63</v>
      </c>
      <c r="E31" s="205" t="s">
        <v>64</v>
      </c>
      <c r="F31" s="205" t="s">
        <v>65</v>
      </c>
      <c r="G31" s="205" t="s">
        <v>244</v>
      </c>
      <c r="H31" s="206" t="s">
        <v>13</v>
      </c>
    </row>
    <row r="32" spans="1:16" x14ac:dyDescent="0.25">
      <c r="A32" s="17"/>
      <c r="B32" s="18" t="str">
        <f>IF($A32="","",(LOOKUP($A32,'STEP 2-WQv Calculation'!$A$8:$A$37,'STEP 2-WQv Calculation'!$B$8:$B$37)))</f>
        <v/>
      </c>
      <c r="C32" s="18" t="str">
        <f>IF($A32="","",(LOOKUP($A32,'STEP 2-WQv Calculation'!$A$8:$A$37,'STEP 2-WQv Calculation'!$C$8:$C$37)))</f>
        <v/>
      </c>
      <c r="D32" s="53" t="str">
        <f>IF($A32="","",(LOOKUP($A32,'STEP 2-WQv Calculation'!$A$8:$A$37,'STEP 2-WQv Calculation'!$D$8:$D$37)))</f>
        <v/>
      </c>
      <c r="E32" s="18" t="str">
        <f>IF($A32="","",(LOOKUP($A32,'STEP 2-WQv Calculation'!$A$8:$A$37,'STEP 2-WQv Calculation'!$E$8:$E$37)))</f>
        <v/>
      </c>
      <c r="F32" s="42" t="str">
        <f>IF($A32="","",(LOOKUP($A32,'STEP 2-WQv Calculation'!$A$8:$A$37,'STEP 2-WQv Calculation'!$F$8:$F$37)))</f>
        <v/>
      </c>
      <c r="G32" s="18">
        <f>'STEP 2-WQv Calculation'!$B$5</f>
        <v>0</v>
      </c>
      <c r="H32" s="29" t="str">
        <f>IF($A32="","",(LOOKUP($A32,'STEP 2-WQv Calculation'!$A$8:$A$37,'STEP 2-WQv Calculation'!$G$8:$G$37)))</f>
        <v/>
      </c>
    </row>
    <row r="33" spans="1:9" ht="15" customHeight="1" x14ac:dyDescent="0.25">
      <c r="A33" s="236" t="s">
        <v>226</v>
      </c>
      <c r="B33" s="237"/>
      <c r="C33" s="237"/>
      <c r="D33" s="237"/>
      <c r="E33" s="237"/>
      <c r="F33" s="237"/>
      <c r="G33" s="237"/>
      <c r="H33" s="238"/>
    </row>
    <row r="34" spans="1:9" ht="29.5" customHeight="1" x14ac:dyDescent="0.25">
      <c r="A34" s="242" t="s">
        <v>295</v>
      </c>
      <c r="B34" s="243"/>
      <c r="C34" s="244"/>
      <c r="D34" s="44"/>
      <c r="E34" s="322" t="str">
        <f>IF(D34="","",IF(D34&lt;0.5,"Underdrains required",""))</f>
        <v/>
      </c>
      <c r="F34" s="323"/>
      <c r="G34" s="323"/>
      <c r="H34" s="324"/>
    </row>
    <row r="35" spans="1:9" ht="28.15" customHeight="1" x14ac:dyDescent="0.25">
      <c r="A35" s="242" t="s">
        <v>588</v>
      </c>
      <c r="B35" s="243"/>
      <c r="C35" s="244"/>
      <c r="D35" s="211"/>
      <c r="E35" s="322" t="str">
        <f>IF(D35="Yes","Impermeable liner and underdrains required","")</f>
        <v/>
      </c>
      <c r="F35" s="323"/>
      <c r="G35" s="323"/>
      <c r="H35" s="324"/>
    </row>
    <row r="36" spans="1:9" s="1" customFormat="1" ht="27" customHeight="1" x14ac:dyDescent="0.35">
      <c r="A36" s="242" t="s">
        <v>589</v>
      </c>
      <c r="B36" s="243"/>
      <c r="C36" s="244"/>
      <c r="D36" s="211"/>
      <c r="E36" s="322" t="str">
        <f>IF(D36="","Refer to Section 4.14 Stormwater Hotspots",IF(D36="Yes","Credit for RRv and WQv treated cannot be applied to first practice in series",""))</f>
        <v>Refer to Section 4.14 Stormwater Hotspots</v>
      </c>
      <c r="F36" s="323"/>
      <c r="G36" s="323"/>
      <c r="H36" s="324"/>
      <c r="I36" s="4"/>
    </row>
    <row r="37" spans="1:9" ht="29.25" customHeight="1" x14ac:dyDescent="0.25">
      <c r="A37" s="242" t="s">
        <v>494</v>
      </c>
      <c r="B37" s="243"/>
      <c r="C37" s="244"/>
      <c r="D37" s="158" t="str">
        <f>IF(B32="","",IF(B32&gt;5,"Yes","No"))</f>
        <v/>
      </c>
      <c r="E37" s="322" t="str">
        <f>IF(D37="Yes","Does not meet design criteria","")</f>
        <v/>
      </c>
      <c r="F37" s="323"/>
      <c r="G37" s="323"/>
      <c r="H37" s="324"/>
    </row>
    <row r="38" spans="1:9" ht="15" customHeight="1" x14ac:dyDescent="0.25">
      <c r="A38" s="242" t="s">
        <v>296</v>
      </c>
      <c r="B38" s="243"/>
      <c r="C38" s="244"/>
      <c r="D38" s="43"/>
      <c r="E38" s="322" t="str">
        <f>IF(D38="","",IF(D38&lt;2,"Impermeable liner and underdrains required",""))</f>
        <v/>
      </c>
      <c r="F38" s="323"/>
      <c r="G38" s="323"/>
      <c r="H38" s="324"/>
    </row>
    <row r="39" spans="1:9" ht="15" customHeight="1" x14ac:dyDescent="0.25">
      <c r="A39" s="242" t="s">
        <v>297</v>
      </c>
      <c r="B39" s="243"/>
      <c r="C39" s="244"/>
      <c r="D39" s="43"/>
      <c r="E39" s="322" t="str">
        <f>IF(D39="","",IF(D39&lt;2,"Impermeable liner and underdrains required",""))</f>
        <v/>
      </c>
      <c r="F39" s="323"/>
      <c r="G39" s="323"/>
      <c r="H39" s="324"/>
    </row>
    <row r="40" spans="1:9" ht="29.5" customHeight="1" x14ac:dyDescent="0.25">
      <c r="A40" s="242" t="s">
        <v>710</v>
      </c>
      <c r="B40" s="243"/>
      <c r="C40" s="244"/>
      <c r="D40" s="211"/>
      <c r="E40" s="322" t="str">
        <f>IF(D40="No","Does not meet design criteria","")</f>
        <v/>
      </c>
      <c r="F40" s="323"/>
      <c r="G40" s="323"/>
      <c r="H40" s="324"/>
    </row>
    <row r="41" spans="1:9" ht="12.75" customHeight="1" x14ac:dyDescent="0.25">
      <c r="A41" s="242" t="s">
        <v>559</v>
      </c>
      <c r="B41" s="243"/>
      <c r="C41" s="244"/>
      <c r="D41" s="43"/>
      <c r="E41" s="322" t="str">
        <f>IF(D41="","",IF(D41&gt;0.5,"Does not meet design criteria",""))</f>
        <v/>
      </c>
      <c r="F41" s="323"/>
      <c r="G41" s="323"/>
      <c r="H41" s="324"/>
    </row>
    <row r="42" spans="1:9" x14ac:dyDescent="0.25">
      <c r="A42" s="242" t="s">
        <v>378</v>
      </c>
      <c r="B42" s="243"/>
      <c r="C42" s="244"/>
      <c r="D42" s="43"/>
      <c r="E42" s="322" t="str">
        <f>IF(D42="","",IF(D42&lt;3,"Does not meet design criteria",""))</f>
        <v/>
      </c>
      <c r="F42" s="323"/>
      <c r="G42" s="323"/>
      <c r="H42" s="324"/>
    </row>
    <row r="43" spans="1:9" x14ac:dyDescent="0.25">
      <c r="A43" s="242" t="s">
        <v>558</v>
      </c>
      <c r="B43" s="243"/>
      <c r="C43" s="244"/>
      <c r="D43" s="43"/>
      <c r="E43" s="322" t="str">
        <f>IF(D43="","",IF(D43&gt;4,"Does not meet design criteria",IF(D43&lt;2.5,"Does not meet design criteria","")))</f>
        <v/>
      </c>
      <c r="F43" s="323"/>
      <c r="G43" s="323"/>
      <c r="H43" s="324"/>
    </row>
    <row r="44" spans="1:9" ht="15" customHeight="1" x14ac:dyDescent="0.25">
      <c r="A44" s="242" t="s">
        <v>402</v>
      </c>
      <c r="B44" s="243"/>
      <c r="C44" s="244"/>
      <c r="D44" s="43"/>
      <c r="E44" s="322" t="str">
        <f>IF(D44="","",IF(D44&lt;10,"Does not meet design criteria",""))</f>
        <v/>
      </c>
      <c r="F44" s="323"/>
      <c r="G44" s="323"/>
      <c r="H44" s="324"/>
    </row>
    <row r="45" spans="1:9" ht="15" customHeight="1" x14ac:dyDescent="0.25">
      <c r="A45" s="242" t="s">
        <v>520</v>
      </c>
      <c r="B45" s="243"/>
      <c r="C45" s="244"/>
      <c r="D45" s="43"/>
      <c r="E45" s="322" t="str">
        <f>IF(D45&gt;15,"Does not meet design criteria","")</f>
        <v/>
      </c>
      <c r="F45" s="323"/>
      <c r="G45" s="323"/>
      <c r="H45" s="324"/>
    </row>
    <row r="46" spans="1:9" ht="15" customHeight="1" x14ac:dyDescent="0.25">
      <c r="A46" s="242" t="s">
        <v>521</v>
      </c>
      <c r="B46" s="243"/>
      <c r="C46" s="244"/>
      <c r="D46" s="43"/>
      <c r="E46" s="322" t="str">
        <f>IF(D46="","",IF(D46&lt;12,"Does not meet design criteria",""))</f>
        <v/>
      </c>
      <c r="F46" s="323"/>
      <c r="G46" s="323"/>
      <c r="H46" s="324"/>
    </row>
    <row r="47" spans="1:9" ht="15" customHeight="1" x14ac:dyDescent="0.25">
      <c r="A47" s="236" t="s">
        <v>232</v>
      </c>
      <c r="B47" s="237"/>
      <c r="C47" s="237"/>
      <c r="D47" s="237"/>
      <c r="E47" s="237"/>
      <c r="F47" s="237"/>
      <c r="G47" s="237"/>
      <c r="H47" s="238"/>
    </row>
    <row r="48" spans="1:9" ht="15" customHeight="1" x14ac:dyDescent="0.25">
      <c r="A48" s="35"/>
      <c r="B48" s="36"/>
      <c r="C48" s="36"/>
      <c r="D48" s="37"/>
      <c r="E48" s="302" t="s">
        <v>256</v>
      </c>
      <c r="F48" s="302"/>
      <c r="G48" s="38" t="s">
        <v>257</v>
      </c>
      <c r="H48" s="38" t="s">
        <v>258</v>
      </c>
    </row>
    <row r="49" spans="1:16" ht="15" customHeight="1" x14ac:dyDescent="0.25">
      <c r="A49" s="266" t="s">
        <v>306</v>
      </c>
      <c r="B49" s="267"/>
      <c r="C49" s="268"/>
      <c r="D49" s="198" t="s">
        <v>307</v>
      </c>
      <c r="E49" s="289">
        <v>1</v>
      </c>
      <c r="F49" s="289"/>
      <c r="G49" s="193" t="s">
        <v>308</v>
      </c>
      <c r="H49" s="219" t="str">
        <f>IF(E49&gt;1,"Sizing as Filter","")</f>
        <v/>
      </c>
    </row>
    <row r="50" spans="1:16" ht="15" customHeight="1" x14ac:dyDescent="0.25">
      <c r="A50" s="289" t="s">
        <v>388</v>
      </c>
      <c r="B50" s="289"/>
      <c r="C50" s="289"/>
      <c r="D50" s="198" t="s">
        <v>312</v>
      </c>
      <c r="E50" s="289">
        <v>2</v>
      </c>
      <c r="F50" s="289"/>
      <c r="G50" s="193" t="s">
        <v>313</v>
      </c>
      <c r="H50" s="192"/>
    </row>
    <row r="51" spans="1:16" ht="15" customHeight="1" x14ac:dyDescent="0.25">
      <c r="A51" s="266" t="s">
        <v>381</v>
      </c>
      <c r="B51" s="267"/>
      <c r="C51" s="268"/>
      <c r="D51" s="198" t="s">
        <v>315</v>
      </c>
      <c r="E51" s="308" t="e">
        <f>ROUND((F32*D43)/(E49*(D41+D43)*E50),0)</f>
        <v>#VALUE!</v>
      </c>
      <c r="F51" s="308"/>
      <c r="G51" s="193" t="s">
        <v>316</v>
      </c>
      <c r="H51" s="192"/>
    </row>
    <row r="52" spans="1:16" ht="15" customHeight="1" x14ac:dyDescent="0.25">
      <c r="A52" s="266" t="s">
        <v>382</v>
      </c>
      <c r="B52" s="267"/>
      <c r="C52" s="268"/>
      <c r="D52" s="198" t="s">
        <v>315</v>
      </c>
      <c r="E52" s="336"/>
      <c r="F52" s="336"/>
      <c r="G52" s="193" t="s">
        <v>316</v>
      </c>
      <c r="H52" s="219" t="str">
        <f>IF(E52="","",IF(E52&lt;E51,"Does not meet sizing criteria",""))</f>
        <v/>
      </c>
    </row>
    <row r="53" spans="1:16" ht="30" customHeight="1" x14ac:dyDescent="0.25">
      <c r="A53" s="266" t="s">
        <v>383</v>
      </c>
      <c r="B53" s="267"/>
      <c r="C53" s="268"/>
      <c r="D53" s="198" t="s">
        <v>384</v>
      </c>
      <c r="E53" s="266" t="str">
        <f>IF(E52="","",(E52*(E49*(D41+D43)*E50))/D43)</f>
        <v/>
      </c>
      <c r="F53" s="268"/>
      <c r="G53" s="193" t="s">
        <v>2</v>
      </c>
      <c r="H53" s="219" t="str">
        <f>IF(E53="","",IF(E52&gt;E53,"Does not meet sizing criteria",""))</f>
        <v/>
      </c>
    </row>
    <row r="54" spans="1:16" ht="15" customHeight="1" x14ac:dyDescent="0.25">
      <c r="A54" s="236" t="s">
        <v>276</v>
      </c>
      <c r="B54" s="237"/>
      <c r="C54" s="237"/>
      <c r="D54" s="237"/>
      <c r="E54" s="237"/>
      <c r="F54" s="237"/>
      <c r="G54" s="237"/>
      <c r="H54" s="238"/>
    </row>
    <row r="55" spans="1:16" s="34" customFormat="1" ht="30.25" customHeight="1" x14ac:dyDescent="0.3">
      <c r="A55" s="335" t="s">
        <v>241</v>
      </c>
      <c r="B55" s="335"/>
      <c r="C55" s="9" t="str">
        <f>IF(A32="","",IF(D36="Yes",0,IF(D37="Yes",0,IF(D40="No",0,IF(D41&gt;0.5,0,IF(D42&lt;3,0,IF(D43&lt;2.5,0,IF(D43&gt;4,0,IF(D44&lt;10,0,IF(D45&gt;15,0,IF(D46&lt;12,0,IF(E52&lt;E51,0,IF(AND(E52&gt;=E51,E53*0.4&lt;F32),E53*0.4,IF(AND(E52&gt;=E51,E53*0.4&gt;F32),F32))))))))))))))</f>
        <v/>
      </c>
      <c r="D55" s="339" t="s">
        <v>2</v>
      </c>
      <c r="E55" s="340"/>
      <c r="F55" s="340"/>
      <c r="G55" s="340"/>
      <c r="H55" s="341"/>
      <c r="I55" s="4"/>
      <c r="J55" s="4"/>
      <c r="K55" s="4"/>
      <c r="L55" s="4"/>
      <c r="M55" s="4"/>
      <c r="N55" s="4"/>
      <c r="O55" s="4"/>
      <c r="P55" s="4"/>
    </row>
    <row r="56" spans="1:16" ht="29.5" customHeight="1" x14ac:dyDescent="0.25">
      <c r="A56" s="392" t="s">
        <v>74</v>
      </c>
      <c r="B56" s="392"/>
      <c r="C56" s="157" t="str">
        <f>IF(A32="","",IF(D36="Yes",0,IF(C55=0,0,IF(E52&lt;E51,0,F32-C55))))</f>
        <v/>
      </c>
      <c r="D56" s="223" t="s">
        <v>2</v>
      </c>
      <c r="E56" s="417" t="s">
        <v>590</v>
      </c>
      <c r="F56" s="418"/>
      <c r="G56" s="418"/>
      <c r="H56" s="419"/>
    </row>
    <row r="57" spans="1:16" ht="13" x14ac:dyDescent="0.3">
      <c r="A57" s="24" t="s">
        <v>56</v>
      </c>
      <c r="B57" s="23" t="str">
        <f>IF('STEP 2-WQv Calculation'!$B$4="","",'STEP 2-WQv Calculation'!$B$4)</f>
        <v/>
      </c>
      <c r="C57" s="31"/>
      <c r="D57" s="31"/>
      <c r="E57" s="32"/>
      <c r="F57" s="33"/>
      <c r="G57" s="33"/>
      <c r="H57" s="33"/>
    </row>
    <row r="58" spans="1:16" ht="15" customHeight="1" x14ac:dyDescent="0.25">
      <c r="A58" s="331" t="s">
        <v>293</v>
      </c>
      <c r="B58" s="332"/>
      <c r="C58" s="332"/>
      <c r="D58" s="332"/>
      <c r="E58" s="332"/>
      <c r="F58" s="332"/>
      <c r="G58" s="332"/>
      <c r="H58" s="333"/>
    </row>
    <row r="59" spans="1:16" ht="38.5" x14ac:dyDescent="0.25">
      <c r="A59" s="204" t="s">
        <v>60</v>
      </c>
      <c r="B59" s="205" t="s">
        <v>61</v>
      </c>
      <c r="C59" s="205" t="s">
        <v>62</v>
      </c>
      <c r="D59" s="205" t="s">
        <v>63</v>
      </c>
      <c r="E59" s="205" t="s">
        <v>64</v>
      </c>
      <c r="F59" s="205" t="s">
        <v>65</v>
      </c>
      <c r="G59" s="205" t="s">
        <v>244</v>
      </c>
      <c r="H59" s="206" t="s">
        <v>13</v>
      </c>
    </row>
    <row r="60" spans="1:16" x14ac:dyDescent="0.25">
      <c r="A60" s="17"/>
      <c r="B60" s="18" t="str">
        <f>IF($A60="","",(LOOKUP($A60,'STEP 2-WQv Calculation'!$A$8:$A$37,'STEP 2-WQv Calculation'!$B$8:$B$37)))</f>
        <v/>
      </c>
      <c r="C60" s="18" t="str">
        <f>IF($A60="","",(LOOKUP($A60,'STEP 2-WQv Calculation'!$A$8:$A$37,'STEP 2-WQv Calculation'!$C$8:$C$37)))</f>
        <v/>
      </c>
      <c r="D60" s="53" t="str">
        <f>IF($A60="","",(LOOKUP($A60,'STEP 2-WQv Calculation'!$A$8:$A$37,'STEP 2-WQv Calculation'!$D$8:$D$37)))</f>
        <v/>
      </c>
      <c r="E60" s="18" t="str">
        <f>IF($A60="","",(LOOKUP($A60,'STEP 2-WQv Calculation'!$A$8:$A$37,'STEP 2-WQv Calculation'!$E$8:$E$37)))</f>
        <v/>
      </c>
      <c r="F60" s="42" t="str">
        <f>IF($A60="","",(LOOKUP($A60,'STEP 2-WQv Calculation'!$A$8:$A$37,'STEP 2-WQv Calculation'!$F$8:$F$37)))</f>
        <v/>
      </c>
      <c r="G60" s="18">
        <f>'STEP 2-WQv Calculation'!$B$5</f>
        <v>0</v>
      </c>
      <c r="H60" s="29" t="str">
        <f>IF($A60="","",(LOOKUP($A60,'STEP 2-WQv Calculation'!$A$8:$A$37,'STEP 2-WQv Calculation'!$G$8:$G$37)))</f>
        <v/>
      </c>
    </row>
    <row r="61" spans="1:16" ht="15" customHeight="1" x14ac:dyDescent="0.25">
      <c r="A61" s="236" t="s">
        <v>226</v>
      </c>
      <c r="B61" s="237"/>
      <c r="C61" s="237"/>
      <c r="D61" s="237"/>
      <c r="E61" s="237"/>
      <c r="F61" s="237"/>
      <c r="G61" s="237"/>
      <c r="H61" s="238"/>
    </row>
    <row r="62" spans="1:16" ht="29.5" customHeight="1" x14ac:dyDescent="0.25">
      <c r="A62" s="242" t="s">
        <v>295</v>
      </c>
      <c r="B62" s="243"/>
      <c r="C62" s="244"/>
      <c r="D62" s="44"/>
      <c r="E62" s="322" t="str">
        <f>IF(D62="","",IF(D62&lt;0.5,"Underdrains required",""))</f>
        <v/>
      </c>
      <c r="F62" s="323"/>
      <c r="G62" s="323"/>
      <c r="H62" s="324"/>
    </row>
    <row r="63" spans="1:16" ht="28.9" customHeight="1" x14ac:dyDescent="0.25">
      <c r="A63" s="242" t="s">
        <v>588</v>
      </c>
      <c r="B63" s="243"/>
      <c r="C63" s="244"/>
      <c r="D63" s="211"/>
      <c r="E63" s="322" t="str">
        <f>IF(D63="Yes","Impermeable liner and underdrains required","")</f>
        <v/>
      </c>
      <c r="F63" s="323"/>
      <c r="G63" s="323"/>
      <c r="H63" s="324"/>
    </row>
    <row r="64" spans="1:16" s="1" customFormat="1" ht="27" customHeight="1" x14ac:dyDescent="0.35">
      <c r="A64" s="242" t="s">
        <v>589</v>
      </c>
      <c r="B64" s="243"/>
      <c r="C64" s="244"/>
      <c r="D64" s="211"/>
      <c r="E64" s="322" t="str">
        <f>IF(D64="","Refer to Section 4.14 Stormwater Hotspots",IF(D64="Yes","Credit for RRv and WQv treated cannot be applied to first practice in series",""))</f>
        <v>Refer to Section 4.14 Stormwater Hotspots</v>
      </c>
      <c r="F64" s="323"/>
      <c r="G64" s="323"/>
      <c r="H64" s="324"/>
      <c r="I64" s="4"/>
    </row>
    <row r="65" spans="1:8" ht="27" customHeight="1" x14ac:dyDescent="0.25">
      <c r="A65" s="242" t="s">
        <v>494</v>
      </c>
      <c r="B65" s="243"/>
      <c r="C65" s="244"/>
      <c r="D65" s="158" t="str">
        <f>IF(B60="","",IF(B60&gt;5,"Yes","No"))</f>
        <v/>
      </c>
      <c r="E65" s="322" t="str">
        <f>IF(D65="Yes","Does not meet design criteria","")</f>
        <v/>
      </c>
      <c r="F65" s="323"/>
      <c r="G65" s="323"/>
      <c r="H65" s="324"/>
    </row>
    <row r="66" spans="1:8" x14ac:dyDescent="0.25">
      <c r="A66" s="242" t="s">
        <v>296</v>
      </c>
      <c r="B66" s="243"/>
      <c r="C66" s="244"/>
      <c r="D66" s="43"/>
      <c r="E66" s="322" t="str">
        <f>IF(D66="","",IF(D66&lt;2,"Impermeable liner and underdrains required",""))</f>
        <v/>
      </c>
      <c r="F66" s="323"/>
      <c r="G66" s="323"/>
      <c r="H66" s="324"/>
    </row>
    <row r="67" spans="1:8" x14ac:dyDescent="0.25">
      <c r="A67" s="242" t="s">
        <v>297</v>
      </c>
      <c r="B67" s="243"/>
      <c r="C67" s="244"/>
      <c r="D67" s="43"/>
      <c r="E67" s="322" t="str">
        <f>IF(D67="","",IF(D67&lt;2,"Impermeable liner and underdrains required",""))</f>
        <v/>
      </c>
      <c r="F67" s="323"/>
      <c r="G67" s="323"/>
      <c r="H67" s="324"/>
    </row>
    <row r="68" spans="1:8" ht="28.9" customHeight="1" x14ac:dyDescent="0.25">
      <c r="A68" s="242" t="s">
        <v>710</v>
      </c>
      <c r="B68" s="243"/>
      <c r="C68" s="244"/>
      <c r="D68" s="211"/>
      <c r="E68" s="322" t="str">
        <f>IF(D68="No","Does not meet design criteria","")</f>
        <v/>
      </c>
      <c r="F68" s="323"/>
      <c r="G68" s="323"/>
      <c r="H68" s="324"/>
    </row>
    <row r="69" spans="1:8" ht="15" customHeight="1" x14ac:dyDescent="0.25">
      <c r="A69" s="242" t="s">
        <v>559</v>
      </c>
      <c r="B69" s="243"/>
      <c r="C69" s="244"/>
      <c r="D69" s="43"/>
      <c r="E69" s="322" t="str">
        <f>IF(D69="","",IF(D69&gt;0.5,"Does not meet design criteria",""))</f>
        <v/>
      </c>
      <c r="F69" s="323"/>
      <c r="G69" s="323"/>
      <c r="H69" s="324"/>
    </row>
    <row r="70" spans="1:8" ht="15" customHeight="1" x14ac:dyDescent="0.25">
      <c r="A70" s="242" t="s">
        <v>378</v>
      </c>
      <c r="B70" s="243"/>
      <c r="C70" s="244"/>
      <c r="D70" s="43"/>
      <c r="E70" s="322" t="str">
        <f>IF(D70="","",IF(D70&lt;3,"Does not meet design criteria",""))</f>
        <v/>
      </c>
      <c r="F70" s="323"/>
      <c r="G70" s="323"/>
      <c r="H70" s="324"/>
    </row>
    <row r="71" spans="1:8" ht="15" customHeight="1" x14ac:dyDescent="0.25">
      <c r="A71" s="242" t="s">
        <v>558</v>
      </c>
      <c r="B71" s="243"/>
      <c r="C71" s="244"/>
      <c r="D71" s="43"/>
      <c r="E71" s="322" t="str">
        <f>IF(D71="","",IF(D71&gt;4,"Does not meet design criteria",IF(D71&lt;2.5,"Does not meet design criteria","")))</f>
        <v/>
      </c>
      <c r="F71" s="323"/>
      <c r="G71" s="323"/>
      <c r="H71" s="324"/>
    </row>
    <row r="72" spans="1:8" ht="15" customHeight="1" x14ac:dyDescent="0.25">
      <c r="A72" s="242" t="s">
        <v>402</v>
      </c>
      <c r="B72" s="243"/>
      <c r="C72" s="244"/>
      <c r="D72" s="43"/>
      <c r="E72" s="322" t="str">
        <f>IF(D72="","",IF(D72&lt;10,"Does not meet design criteria",""))</f>
        <v/>
      </c>
      <c r="F72" s="323"/>
      <c r="G72" s="323"/>
      <c r="H72" s="324"/>
    </row>
    <row r="73" spans="1:8" ht="15" customHeight="1" x14ac:dyDescent="0.25">
      <c r="A73" s="242" t="s">
        <v>520</v>
      </c>
      <c r="B73" s="243"/>
      <c r="C73" s="244"/>
      <c r="D73" s="43"/>
      <c r="E73" s="322" t="str">
        <f>IF(D73&gt;15,"Does not meet design criteria","")</f>
        <v/>
      </c>
      <c r="F73" s="323"/>
      <c r="G73" s="323"/>
      <c r="H73" s="324"/>
    </row>
    <row r="74" spans="1:8" ht="15" customHeight="1" x14ac:dyDescent="0.25">
      <c r="A74" s="242" t="s">
        <v>521</v>
      </c>
      <c r="B74" s="243"/>
      <c r="C74" s="244"/>
      <c r="D74" s="43"/>
      <c r="E74" s="322" t="str">
        <f>IF(D74="","",IF(D74&lt;12,"Does not meet design criteria",""))</f>
        <v/>
      </c>
      <c r="F74" s="323"/>
      <c r="G74" s="323"/>
      <c r="H74" s="324"/>
    </row>
    <row r="75" spans="1:8" ht="15" customHeight="1" x14ac:dyDescent="0.25">
      <c r="A75" s="236" t="s">
        <v>232</v>
      </c>
      <c r="B75" s="237"/>
      <c r="C75" s="237"/>
      <c r="D75" s="237"/>
      <c r="E75" s="237"/>
      <c r="F75" s="237"/>
      <c r="G75" s="237"/>
      <c r="H75" s="238"/>
    </row>
    <row r="76" spans="1:8" ht="15" customHeight="1" x14ac:dyDescent="0.25">
      <c r="A76" s="35"/>
      <c r="B76" s="36"/>
      <c r="C76" s="36"/>
      <c r="D76" s="37"/>
      <c r="E76" s="302" t="s">
        <v>256</v>
      </c>
      <c r="F76" s="302"/>
      <c r="G76" s="38" t="s">
        <v>257</v>
      </c>
      <c r="H76" s="38" t="s">
        <v>258</v>
      </c>
    </row>
    <row r="77" spans="1:8" ht="15" customHeight="1" x14ac:dyDescent="0.25">
      <c r="A77" s="266" t="s">
        <v>306</v>
      </c>
      <c r="B77" s="267"/>
      <c r="C77" s="268"/>
      <c r="D77" s="198" t="s">
        <v>307</v>
      </c>
      <c r="E77" s="289">
        <v>1</v>
      </c>
      <c r="F77" s="289"/>
      <c r="G77" s="193" t="s">
        <v>308</v>
      </c>
      <c r="H77" s="219" t="str">
        <f>IF(E77&gt;1,"Sizing as Filter","")</f>
        <v/>
      </c>
    </row>
    <row r="78" spans="1:8" ht="15" customHeight="1" x14ac:dyDescent="0.25">
      <c r="A78" s="289" t="s">
        <v>388</v>
      </c>
      <c r="B78" s="289"/>
      <c r="C78" s="289"/>
      <c r="D78" s="198" t="s">
        <v>312</v>
      </c>
      <c r="E78" s="289">
        <v>2</v>
      </c>
      <c r="F78" s="289"/>
      <c r="G78" s="193" t="s">
        <v>313</v>
      </c>
      <c r="H78" s="192"/>
    </row>
    <row r="79" spans="1:8" ht="15" customHeight="1" x14ac:dyDescent="0.25">
      <c r="A79" s="266" t="s">
        <v>381</v>
      </c>
      <c r="B79" s="267"/>
      <c r="C79" s="268"/>
      <c r="D79" s="198" t="s">
        <v>315</v>
      </c>
      <c r="E79" s="308" t="e">
        <f>ROUND((F60*D71)/(E77*(D69+D71)*E78),0)</f>
        <v>#VALUE!</v>
      </c>
      <c r="F79" s="308"/>
      <c r="G79" s="193" t="s">
        <v>316</v>
      </c>
      <c r="H79" s="192"/>
    </row>
    <row r="80" spans="1:8" ht="12.75" customHeight="1" x14ac:dyDescent="0.25">
      <c r="A80" s="266" t="s">
        <v>382</v>
      </c>
      <c r="B80" s="267"/>
      <c r="C80" s="268"/>
      <c r="D80" s="198" t="s">
        <v>315</v>
      </c>
      <c r="E80" s="336"/>
      <c r="F80" s="336"/>
      <c r="G80" s="193" t="s">
        <v>316</v>
      </c>
      <c r="H80" s="219" t="str">
        <f>IF(E80="","",IF(E80&lt;E79,"Does not meet sizing criteria",""))</f>
        <v/>
      </c>
    </row>
    <row r="81" spans="1:16" ht="30" customHeight="1" x14ac:dyDescent="0.25">
      <c r="A81" s="266" t="s">
        <v>383</v>
      </c>
      <c r="B81" s="267"/>
      <c r="C81" s="268"/>
      <c r="D81" s="198" t="s">
        <v>384</v>
      </c>
      <c r="E81" s="266" t="str">
        <f>IF(E80="","",(E80*(E77*(D69+D71)*E78))/D71)</f>
        <v/>
      </c>
      <c r="F81" s="268"/>
      <c r="G81" s="193" t="s">
        <v>2</v>
      </c>
      <c r="H81" s="219" t="str">
        <f>IF(E81="","",IF(E80&gt;E81,"Does not meet sizing criteria",""))</f>
        <v/>
      </c>
    </row>
    <row r="82" spans="1:16" ht="30.25" customHeight="1" x14ac:dyDescent="0.25">
      <c r="A82" s="236" t="s">
        <v>276</v>
      </c>
      <c r="B82" s="237"/>
      <c r="C82" s="237"/>
      <c r="D82" s="237"/>
      <c r="E82" s="237"/>
      <c r="F82" s="237"/>
      <c r="G82" s="237"/>
      <c r="H82" s="238"/>
    </row>
    <row r="83" spans="1:16" s="34" customFormat="1" ht="30.25" customHeight="1" x14ac:dyDescent="0.3">
      <c r="A83" s="335" t="s">
        <v>241</v>
      </c>
      <c r="B83" s="335"/>
      <c r="C83" s="9" t="str">
        <f>IF(A60="","",IF(D64="Yes",0,IF(D65="Yes",0,IF(D68="No",0,IF(D69&gt;0.5,0,IF(D70&lt;3,0,IF(D71&lt;2.5,0,IF(D71&gt;4,0,IF(D72&lt;10,0,IF(D73&gt;15,0,IF(D74&lt;12,0,IF(E80&lt;E79,0,IF(AND(E80&gt;=E79,E81*0.4&lt;F60),E81*0.4,IF(AND(E80&gt;=E79,E81*0.4&gt;F60),F60))))))))))))))</f>
        <v/>
      </c>
      <c r="D83" s="339" t="s">
        <v>2</v>
      </c>
      <c r="E83" s="340"/>
      <c r="F83" s="340"/>
      <c r="G83" s="340"/>
      <c r="H83" s="341"/>
      <c r="I83" s="4"/>
      <c r="J83" s="4"/>
      <c r="K83" s="4"/>
      <c r="L83" s="4"/>
      <c r="M83" s="4"/>
      <c r="N83" s="4"/>
      <c r="O83" s="4"/>
      <c r="P83" s="4"/>
    </row>
    <row r="84" spans="1:16" ht="28.9" customHeight="1" x14ac:dyDescent="0.25">
      <c r="A84" s="392" t="s">
        <v>74</v>
      </c>
      <c r="B84" s="392"/>
      <c r="C84" s="157" t="str">
        <f>IF(A60="","",IF(D64="Yes",0,IF(C83=0,0,IF(E80&lt;E79,0,F60-C83))))</f>
        <v/>
      </c>
      <c r="D84" s="223" t="s">
        <v>2</v>
      </c>
      <c r="E84" s="417" t="s">
        <v>590</v>
      </c>
      <c r="F84" s="418"/>
      <c r="G84" s="418"/>
      <c r="H84" s="419"/>
    </row>
    <row r="85" spans="1:16" ht="13" x14ac:dyDescent="0.3">
      <c r="A85" s="24" t="s">
        <v>56</v>
      </c>
      <c r="B85" s="23" t="str">
        <f>IF('STEP 2-WQv Calculation'!$B$4="","",'STEP 2-WQv Calculation'!$B$4)</f>
        <v/>
      </c>
      <c r="C85" s="31"/>
      <c r="D85" s="31"/>
      <c r="E85" s="32"/>
      <c r="F85" s="33"/>
      <c r="G85" s="33"/>
      <c r="H85" s="33"/>
    </row>
    <row r="86" spans="1:16" ht="13" x14ac:dyDescent="0.25">
      <c r="A86" s="331" t="s">
        <v>293</v>
      </c>
      <c r="B86" s="332"/>
      <c r="C86" s="332"/>
      <c r="D86" s="332"/>
      <c r="E86" s="332"/>
      <c r="F86" s="332"/>
      <c r="G86" s="332"/>
      <c r="H86" s="333"/>
    </row>
    <row r="87" spans="1:16" ht="38.5" x14ac:dyDescent="0.25">
      <c r="A87" s="204" t="s">
        <v>60</v>
      </c>
      <c r="B87" s="205" t="s">
        <v>61</v>
      </c>
      <c r="C87" s="205" t="s">
        <v>62</v>
      </c>
      <c r="D87" s="205" t="s">
        <v>63</v>
      </c>
      <c r="E87" s="205" t="s">
        <v>64</v>
      </c>
      <c r="F87" s="205" t="s">
        <v>65</v>
      </c>
      <c r="G87" s="205" t="s">
        <v>244</v>
      </c>
      <c r="H87" s="206" t="s">
        <v>13</v>
      </c>
    </row>
    <row r="88" spans="1:16" x14ac:dyDescent="0.25">
      <c r="A88" s="17"/>
      <c r="B88" s="18" t="str">
        <f>IF($A88="","",(LOOKUP($A88,'STEP 2-WQv Calculation'!$A$8:$A$37,'STEP 2-WQv Calculation'!$B$8:$B$37)))</f>
        <v/>
      </c>
      <c r="C88" s="18" t="str">
        <f>IF($A88="","",(LOOKUP($A88,'STEP 2-WQv Calculation'!$A$8:$A$37,'STEP 2-WQv Calculation'!$C$8:$C$37)))</f>
        <v/>
      </c>
      <c r="D88" s="53" t="str">
        <f>IF($A88="","",(LOOKUP($A88,'STEP 2-WQv Calculation'!$A$8:$A$37,'STEP 2-WQv Calculation'!$D$8:$D$37)))</f>
        <v/>
      </c>
      <c r="E88" s="18" t="str">
        <f>IF($A88="","",(LOOKUP($A88,'STEP 2-WQv Calculation'!$A$8:$A$37,'STEP 2-WQv Calculation'!$E$8:$E$37)))</f>
        <v/>
      </c>
      <c r="F88" s="42" t="str">
        <f>IF($A88="","",(LOOKUP($A88,'STEP 2-WQv Calculation'!$A$8:$A$37,'STEP 2-WQv Calculation'!$F$8:$F$37)))</f>
        <v/>
      </c>
      <c r="G88" s="18">
        <f>'STEP 2-WQv Calculation'!$B$5</f>
        <v>0</v>
      </c>
      <c r="H88" s="29" t="str">
        <f>IF($A88="","",(LOOKUP($A88,'STEP 2-WQv Calculation'!$A$8:$A$37,'STEP 2-WQv Calculation'!$G$8:$G$37)))</f>
        <v/>
      </c>
    </row>
    <row r="89" spans="1:16" ht="15" customHeight="1" x14ac:dyDescent="0.25">
      <c r="A89" s="236" t="s">
        <v>226</v>
      </c>
      <c r="B89" s="237"/>
      <c r="C89" s="237"/>
      <c r="D89" s="237"/>
      <c r="E89" s="237"/>
      <c r="F89" s="237"/>
      <c r="G89" s="237"/>
      <c r="H89" s="238"/>
    </row>
    <row r="90" spans="1:16" ht="30" customHeight="1" x14ac:dyDescent="0.25">
      <c r="A90" s="242" t="s">
        <v>295</v>
      </c>
      <c r="B90" s="243"/>
      <c r="C90" s="244"/>
      <c r="D90" s="44"/>
      <c r="E90" s="322" t="str">
        <f>IF(D90="","",IF(D90&lt;0.5,"Underdrains required",""))</f>
        <v/>
      </c>
      <c r="F90" s="323"/>
      <c r="G90" s="323"/>
      <c r="H90" s="324"/>
    </row>
    <row r="91" spans="1:16" ht="30" customHeight="1" x14ac:dyDescent="0.25">
      <c r="A91" s="242" t="s">
        <v>588</v>
      </c>
      <c r="B91" s="243"/>
      <c r="C91" s="244"/>
      <c r="D91" s="211"/>
      <c r="E91" s="322" t="str">
        <f>IF(D91="Yes","Impermeable liner and underdrains required","")</f>
        <v/>
      </c>
      <c r="F91" s="323"/>
      <c r="G91" s="323"/>
      <c r="H91" s="324"/>
    </row>
    <row r="92" spans="1:16" s="1" customFormat="1" ht="27" customHeight="1" x14ac:dyDescent="0.35">
      <c r="A92" s="242" t="s">
        <v>589</v>
      </c>
      <c r="B92" s="243"/>
      <c r="C92" s="244"/>
      <c r="D92" s="211"/>
      <c r="E92" s="322" t="str">
        <f>IF(D92="","Refer to Section 4.14 Stormwater Hotspots",IF(D92="Yes","Credit for RRv and WQv treated cannot be applied to first practice in series",""))</f>
        <v>Refer to Section 4.14 Stormwater Hotspots</v>
      </c>
      <c r="F92" s="323"/>
      <c r="G92" s="323"/>
      <c r="H92" s="324"/>
      <c r="I92" s="4"/>
    </row>
    <row r="93" spans="1:16" ht="28.5" customHeight="1" x14ac:dyDescent="0.25">
      <c r="A93" s="242" t="s">
        <v>494</v>
      </c>
      <c r="B93" s="243"/>
      <c r="C93" s="244"/>
      <c r="D93" s="158" t="str">
        <f>IF(B88="","",IF(B88&gt;5,"Yes","No"))</f>
        <v/>
      </c>
      <c r="E93" s="322" t="str">
        <f>IF(D93="Yes","Does not meet design criteria","")</f>
        <v/>
      </c>
      <c r="F93" s="323"/>
      <c r="G93" s="323"/>
      <c r="H93" s="324"/>
    </row>
    <row r="94" spans="1:16" ht="15" customHeight="1" x14ac:dyDescent="0.25">
      <c r="A94" s="242" t="s">
        <v>296</v>
      </c>
      <c r="B94" s="243"/>
      <c r="C94" s="244"/>
      <c r="D94" s="43"/>
      <c r="E94" s="322" t="str">
        <f>IF(D94="","",IF(D94&lt;2,"Impermeable liner and underdrains required",""))</f>
        <v/>
      </c>
      <c r="F94" s="323"/>
      <c r="G94" s="323"/>
      <c r="H94" s="324"/>
    </row>
    <row r="95" spans="1:16" ht="15" customHeight="1" x14ac:dyDescent="0.25">
      <c r="A95" s="242" t="s">
        <v>297</v>
      </c>
      <c r="B95" s="243"/>
      <c r="C95" s="244"/>
      <c r="D95" s="43"/>
      <c r="E95" s="322" t="str">
        <f>IF(D95="","",IF(D95&lt;2,"Impermeable liner and underdrains required",""))</f>
        <v/>
      </c>
      <c r="F95" s="323"/>
      <c r="G95" s="323"/>
      <c r="H95" s="324"/>
    </row>
    <row r="96" spans="1:16" ht="30" customHeight="1" x14ac:dyDescent="0.25">
      <c r="A96" s="242" t="s">
        <v>710</v>
      </c>
      <c r="B96" s="243"/>
      <c r="C96" s="244"/>
      <c r="D96" s="211"/>
      <c r="E96" s="322" t="str">
        <f>IF(D96="No","Does not meet design criteria","")</f>
        <v/>
      </c>
      <c r="F96" s="323"/>
      <c r="G96" s="323"/>
      <c r="H96" s="324"/>
    </row>
    <row r="97" spans="1:16" ht="15" customHeight="1" x14ac:dyDescent="0.25">
      <c r="A97" s="242" t="s">
        <v>559</v>
      </c>
      <c r="B97" s="243"/>
      <c r="C97" s="244"/>
      <c r="D97" s="43"/>
      <c r="E97" s="322" t="str">
        <f>IF(D97="","",IF(D97&gt;0.5,"Does not meet design criteria",""))</f>
        <v/>
      </c>
      <c r="F97" s="323"/>
      <c r="G97" s="323"/>
      <c r="H97" s="324"/>
    </row>
    <row r="98" spans="1:16" ht="15" customHeight="1" x14ac:dyDescent="0.25">
      <c r="A98" s="242" t="s">
        <v>378</v>
      </c>
      <c r="B98" s="243"/>
      <c r="C98" s="244"/>
      <c r="D98" s="43"/>
      <c r="E98" s="322" t="str">
        <f>IF(D98="","",IF(D98&lt;3,"Does not meet design criteria",""))</f>
        <v/>
      </c>
      <c r="F98" s="323"/>
      <c r="G98" s="323"/>
      <c r="H98" s="324"/>
    </row>
    <row r="99" spans="1:16" ht="15" customHeight="1" x14ac:dyDescent="0.25">
      <c r="A99" s="242" t="s">
        <v>558</v>
      </c>
      <c r="B99" s="243"/>
      <c r="C99" s="244"/>
      <c r="D99" s="43"/>
      <c r="E99" s="322" t="str">
        <f>IF(D99="","",IF(D99&gt;4,"Does not meet design criteria",IF(D99&lt;2.5,"Does not meet design criteria","")))</f>
        <v/>
      </c>
      <c r="F99" s="323"/>
      <c r="G99" s="323"/>
      <c r="H99" s="324"/>
    </row>
    <row r="100" spans="1:16" ht="15" customHeight="1" x14ac:dyDescent="0.25">
      <c r="A100" s="242" t="s">
        <v>402</v>
      </c>
      <c r="B100" s="243"/>
      <c r="C100" s="244"/>
      <c r="D100" s="43"/>
      <c r="E100" s="322" t="str">
        <f>IF(D100="","",IF(D100&lt;10,"Does not meet design criteria",""))</f>
        <v/>
      </c>
      <c r="F100" s="323"/>
      <c r="G100" s="323"/>
      <c r="H100" s="324"/>
    </row>
    <row r="101" spans="1:16" ht="15" customHeight="1" x14ac:dyDescent="0.25">
      <c r="A101" s="242" t="s">
        <v>520</v>
      </c>
      <c r="B101" s="243"/>
      <c r="C101" s="244"/>
      <c r="D101" s="43"/>
      <c r="E101" s="322" t="str">
        <f>IF(D101&gt;15,"Does not meet design criteria","")</f>
        <v/>
      </c>
      <c r="F101" s="323"/>
      <c r="G101" s="323"/>
      <c r="H101" s="324"/>
    </row>
    <row r="102" spans="1:16" ht="15" customHeight="1" x14ac:dyDescent="0.25">
      <c r="A102" s="242" t="s">
        <v>521</v>
      </c>
      <c r="B102" s="243"/>
      <c r="C102" s="244"/>
      <c r="D102" s="43"/>
      <c r="E102" s="322" t="str">
        <f>IF(D102="","",IF(D102&lt;12,"Does not meet design criteria",""))</f>
        <v/>
      </c>
      <c r="F102" s="323"/>
      <c r="G102" s="323"/>
      <c r="H102" s="324"/>
    </row>
    <row r="103" spans="1:16" ht="15" customHeight="1" x14ac:dyDescent="0.25">
      <c r="A103" s="236" t="s">
        <v>232</v>
      </c>
      <c r="B103" s="237"/>
      <c r="C103" s="237"/>
      <c r="D103" s="237"/>
      <c r="E103" s="237"/>
      <c r="F103" s="237"/>
      <c r="G103" s="237"/>
      <c r="H103" s="238"/>
    </row>
    <row r="104" spans="1:16" ht="30.25" customHeight="1" x14ac:dyDescent="0.25">
      <c r="A104" s="35"/>
      <c r="B104" s="36"/>
      <c r="C104" s="36"/>
      <c r="D104" s="37"/>
      <c r="E104" s="302" t="s">
        <v>256</v>
      </c>
      <c r="F104" s="302"/>
      <c r="G104" s="38" t="s">
        <v>257</v>
      </c>
      <c r="H104" s="38" t="s">
        <v>258</v>
      </c>
    </row>
    <row r="105" spans="1:16" ht="15" customHeight="1" x14ac:dyDescent="0.25">
      <c r="A105" s="266" t="s">
        <v>306</v>
      </c>
      <c r="B105" s="267"/>
      <c r="C105" s="268"/>
      <c r="D105" s="198" t="s">
        <v>307</v>
      </c>
      <c r="E105" s="289">
        <v>1</v>
      </c>
      <c r="F105" s="289"/>
      <c r="G105" s="193" t="s">
        <v>308</v>
      </c>
      <c r="H105" s="219" t="str">
        <f>IF(E105&gt;1,"Sizing as Filter","")</f>
        <v/>
      </c>
    </row>
    <row r="106" spans="1:16" x14ac:dyDescent="0.25">
      <c r="A106" s="289" t="s">
        <v>388</v>
      </c>
      <c r="B106" s="289"/>
      <c r="C106" s="289"/>
      <c r="D106" s="198" t="s">
        <v>312</v>
      </c>
      <c r="E106" s="289">
        <v>2</v>
      </c>
      <c r="F106" s="289"/>
      <c r="G106" s="193" t="s">
        <v>313</v>
      </c>
      <c r="H106" s="192"/>
    </row>
    <row r="107" spans="1:16" x14ac:dyDescent="0.25">
      <c r="A107" s="266" t="s">
        <v>381</v>
      </c>
      <c r="B107" s="267"/>
      <c r="C107" s="268"/>
      <c r="D107" s="198" t="s">
        <v>315</v>
      </c>
      <c r="E107" s="308" t="e">
        <f>ROUND((F88*D99)/(E105*(D97+D99)*E106),0)</f>
        <v>#VALUE!</v>
      </c>
      <c r="F107" s="308"/>
      <c r="G107" s="193" t="s">
        <v>316</v>
      </c>
      <c r="H107" s="192"/>
    </row>
    <row r="108" spans="1:16" ht="15" customHeight="1" x14ac:dyDescent="0.25">
      <c r="A108" s="266" t="s">
        <v>382</v>
      </c>
      <c r="B108" s="267"/>
      <c r="C108" s="268"/>
      <c r="D108" s="198" t="s">
        <v>315</v>
      </c>
      <c r="E108" s="336"/>
      <c r="F108" s="336"/>
      <c r="G108" s="193" t="s">
        <v>316</v>
      </c>
      <c r="H108" s="219" t="str">
        <f>IF(E108="","",IF(E108&lt;E107,"Does not meet sizing criteria",""))</f>
        <v/>
      </c>
    </row>
    <row r="109" spans="1:16" ht="30" customHeight="1" x14ac:dyDescent="0.25">
      <c r="A109" s="266" t="s">
        <v>383</v>
      </c>
      <c r="B109" s="267"/>
      <c r="C109" s="268"/>
      <c r="D109" s="198" t="s">
        <v>384</v>
      </c>
      <c r="E109" s="266" t="str">
        <f>IF(E108="","",(E108*(E105*(D97+D99)*E106))/D99)</f>
        <v/>
      </c>
      <c r="F109" s="268"/>
      <c r="G109" s="193" t="s">
        <v>2</v>
      </c>
      <c r="H109" s="219" t="str">
        <f>IF(E109="","",IF(E108&gt;E109,"Does not meet sizing criteria",""))</f>
        <v/>
      </c>
    </row>
    <row r="110" spans="1:16" ht="15" customHeight="1" x14ac:dyDescent="0.25">
      <c r="A110" s="236" t="s">
        <v>276</v>
      </c>
      <c r="B110" s="237"/>
      <c r="C110" s="237"/>
      <c r="D110" s="237"/>
      <c r="E110" s="237"/>
      <c r="F110" s="237"/>
      <c r="G110" s="237"/>
      <c r="H110" s="238"/>
    </row>
    <row r="111" spans="1:16" s="34" customFormat="1" ht="30.25" customHeight="1" x14ac:dyDescent="0.3">
      <c r="A111" s="335" t="s">
        <v>241</v>
      </c>
      <c r="B111" s="335"/>
      <c r="C111" s="9" t="str">
        <f>IF(A88="","",IF(D92="Yes",0,IF(D93="Yes",0,IF(D96="No",0,IF(D97&gt;0.5,0,IF(D98&lt;3,0,IF(D99&lt;2.5,0,IF(D99&gt;4,0,IF(D100&lt;10,0,IF(D101&gt;15,0,IF(D102&lt;12,0,IF(E108&lt;E107,0,IF(AND(E108&gt;=E107,E109*0.4&lt;F88),E109*0.4,IF(AND(E108&gt;=E107,E109*0.4&gt;F88),F88))))))))))))))</f>
        <v/>
      </c>
      <c r="D111" s="339" t="s">
        <v>2</v>
      </c>
      <c r="E111" s="340"/>
      <c r="F111" s="340"/>
      <c r="G111" s="340"/>
      <c r="H111" s="341"/>
      <c r="I111" s="4"/>
      <c r="J111" s="4"/>
      <c r="K111" s="4"/>
      <c r="L111" s="4"/>
      <c r="M111" s="4"/>
      <c r="N111" s="4"/>
      <c r="O111" s="4"/>
      <c r="P111" s="4"/>
    </row>
    <row r="112" spans="1:16" ht="30" customHeight="1" x14ac:dyDescent="0.25">
      <c r="A112" s="392" t="s">
        <v>74</v>
      </c>
      <c r="B112" s="392"/>
      <c r="C112" s="157" t="str">
        <f>IF(A88="","",IF(D92="Yes",0,IF(C111=0,0,IF(E108&lt;E107,0,F88-C111))))</f>
        <v/>
      </c>
      <c r="D112" s="223" t="s">
        <v>2</v>
      </c>
      <c r="E112" s="417" t="s">
        <v>590</v>
      </c>
      <c r="F112" s="418"/>
      <c r="G112" s="418"/>
      <c r="H112" s="419"/>
    </row>
    <row r="113" spans="1:9" ht="13" x14ac:dyDescent="0.3">
      <c r="A113" s="24" t="s">
        <v>56</v>
      </c>
      <c r="B113" s="23" t="str">
        <f>IF('STEP 2-WQv Calculation'!$B$4="","",'STEP 2-WQv Calculation'!$B$4)</f>
        <v/>
      </c>
      <c r="C113" s="31"/>
      <c r="D113" s="31"/>
      <c r="E113" s="32"/>
      <c r="F113" s="33"/>
      <c r="G113" s="33"/>
      <c r="H113" s="33"/>
    </row>
    <row r="114" spans="1:9" ht="13" x14ac:dyDescent="0.25">
      <c r="A114" s="331" t="s">
        <v>293</v>
      </c>
      <c r="B114" s="332"/>
      <c r="C114" s="332"/>
      <c r="D114" s="332"/>
      <c r="E114" s="332"/>
      <c r="F114" s="332"/>
      <c r="G114" s="332"/>
      <c r="H114" s="333"/>
    </row>
    <row r="115" spans="1:9" ht="38.5" x14ac:dyDescent="0.25">
      <c r="A115" s="204" t="s">
        <v>60</v>
      </c>
      <c r="B115" s="205" t="s">
        <v>61</v>
      </c>
      <c r="C115" s="205" t="s">
        <v>62</v>
      </c>
      <c r="D115" s="205" t="s">
        <v>63</v>
      </c>
      <c r="E115" s="205" t="s">
        <v>64</v>
      </c>
      <c r="F115" s="205" t="s">
        <v>65</v>
      </c>
      <c r="G115" s="205" t="s">
        <v>244</v>
      </c>
      <c r="H115" s="206" t="s">
        <v>13</v>
      </c>
    </row>
    <row r="116" spans="1:9" x14ac:dyDescent="0.25">
      <c r="A116" s="17"/>
      <c r="B116" s="18" t="str">
        <f>IF($A116="","",(LOOKUP($A116,'STEP 2-WQv Calculation'!$A$8:$A$37,'STEP 2-WQv Calculation'!$B$8:$B$37)))</f>
        <v/>
      </c>
      <c r="C116" s="18" t="str">
        <f>IF($A116="","",(LOOKUP($A116,'STEP 2-WQv Calculation'!$A$8:$A$37,'STEP 2-WQv Calculation'!$C$8:$C$37)))</f>
        <v/>
      </c>
      <c r="D116" s="53" t="str">
        <f>IF($A116="","",(LOOKUP($A116,'STEP 2-WQv Calculation'!$A$8:$A$37,'STEP 2-WQv Calculation'!$D$8:$D$37)))</f>
        <v/>
      </c>
      <c r="E116" s="18" t="str">
        <f>IF($A116="","",(LOOKUP($A116,'STEP 2-WQv Calculation'!$A$8:$A$37,'STEP 2-WQv Calculation'!$E$8:$E$37)))</f>
        <v/>
      </c>
      <c r="F116" s="42" t="str">
        <f>IF($A116="","",(LOOKUP($A116,'STEP 2-WQv Calculation'!$A$8:$A$37,'STEP 2-WQv Calculation'!$F$8:$F$37)))</f>
        <v/>
      </c>
      <c r="G116" s="18">
        <f>'STEP 2-WQv Calculation'!$B$5</f>
        <v>0</v>
      </c>
      <c r="H116" s="29" t="str">
        <f>IF($A116="","",(LOOKUP($A116,'STEP 2-WQv Calculation'!$A$8:$A$37,'STEP 2-WQv Calculation'!$G$8:$G$37)))</f>
        <v/>
      </c>
    </row>
    <row r="117" spans="1:9" ht="15" customHeight="1" x14ac:dyDescent="0.25">
      <c r="A117" s="236" t="s">
        <v>226</v>
      </c>
      <c r="B117" s="237"/>
      <c r="C117" s="237"/>
      <c r="D117" s="237"/>
      <c r="E117" s="237"/>
      <c r="F117" s="237"/>
      <c r="G117" s="237"/>
      <c r="H117" s="238"/>
    </row>
    <row r="118" spans="1:9" ht="29.5" customHeight="1" x14ac:dyDescent="0.25">
      <c r="A118" s="242" t="s">
        <v>295</v>
      </c>
      <c r="B118" s="243"/>
      <c r="C118" s="244"/>
      <c r="D118" s="44"/>
      <c r="E118" s="322" t="str">
        <f>IF(D118="","",IF(D118&lt;0.5,"Underdrains required",""))</f>
        <v/>
      </c>
      <c r="F118" s="323"/>
      <c r="G118" s="323"/>
      <c r="H118" s="324"/>
    </row>
    <row r="119" spans="1:9" ht="30" customHeight="1" x14ac:dyDescent="0.25">
      <c r="A119" s="242" t="s">
        <v>588</v>
      </c>
      <c r="B119" s="243"/>
      <c r="C119" s="244"/>
      <c r="D119" s="211"/>
      <c r="E119" s="322" t="str">
        <f>IF(D119="Yes","Impermeable liner and underdrains required","")</f>
        <v/>
      </c>
      <c r="F119" s="323"/>
      <c r="G119" s="323"/>
      <c r="H119" s="324"/>
    </row>
    <row r="120" spans="1:9" s="1" customFormat="1" ht="27" customHeight="1" x14ac:dyDescent="0.35">
      <c r="A120" s="242" t="s">
        <v>589</v>
      </c>
      <c r="B120" s="243"/>
      <c r="C120" s="244"/>
      <c r="D120" s="211"/>
      <c r="E120" s="322" t="str">
        <f>IF(D120="","Refer to Section 4.14 Stormwater Hotspots",IF(D120="Yes","Credit for RRv and WQv treated cannot be applied to first practice in series",""))</f>
        <v>Refer to Section 4.14 Stormwater Hotspots</v>
      </c>
      <c r="F120" s="323"/>
      <c r="G120" s="323"/>
      <c r="H120" s="324"/>
      <c r="I120" s="4"/>
    </row>
    <row r="121" spans="1:9" ht="26.25" customHeight="1" x14ac:dyDescent="0.25">
      <c r="A121" s="242" t="s">
        <v>494</v>
      </c>
      <c r="B121" s="243"/>
      <c r="C121" s="244"/>
      <c r="D121" s="158" t="str">
        <f>IF(B116="","",IF(B116&gt;5,"Yes","No"))</f>
        <v/>
      </c>
      <c r="E121" s="322" t="str">
        <f>IF(D121="Yes","Does not meet design criteria","")</f>
        <v/>
      </c>
      <c r="F121" s="323"/>
      <c r="G121" s="323"/>
      <c r="H121" s="324"/>
    </row>
    <row r="122" spans="1:9" x14ac:dyDescent="0.25">
      <c r="A122" s="242" t="s">
        <v>296</v>
      </c>
      <c r="B122" s="243"/>
      <c r="C122" s="244"/>
      <c r="D122" s="43"/>
      <c r="E122" s="322" t="str">
        <f>IF(D122="","",IF(D122&lt;2,"Impermeable liner and underdrains required",""))</f>
        <v/>
      </c>
      <c r="F122" s="323"/>
      <c r="G122" s="323"/>
      <c r="H122" s="324"/>
    </row>
    <row r="123" spans="1:9" x14ac:dyDescent="0.25">
      <c r="A123" s="242" t="s">
        <v>297</v>
      </c>
      <c r="B123" s="243"/>
      <c r="C123" s="244"/>
      <c r="D123" s="43"/>
      <c r="E123" s="322" t="str">
        <f>IF(D123="","",IF(D123&lt;2,"Impermeable liner and underdrains required",""))</f>
        <v/>
      </c>
      <c r="F123" s="323"/>
      <c r="G123" s="323"/>
      <c r="H123" s="324"/>
    </row>
    <row r="124" spans="1:9" ht="30.25" customHeight="1" x14ac:dyDescent="0.25">
      <c r="A124" s="242" t="s">
        <v>710</v>
      </c>
      <c r="B124" s="243"/>
      <c r="C124" s="244"/>
      <c r="D124" s="211"/>
      <c r="E124" s="322" t="str">
        <f>IF(D124="No","Does not meet design criteria","")</f>
        <v/>
      </c>
      <c r="F124" s="323"/>
      <c r="G124" s="323"/>
      <c r="H124" s="324"/>
    </row>
    <row r="125" spans="1:9" ht="12.75" customHeight="1" x14ac:dyDescent="0.25">
      <c r="A125" s="242" t="s">
        <v>559</v>
      </c>
      <c r="B125" s="243"/>
      <c r="C125" s="244"/>
      <c r="D125" s="43"/>
      <c r="E125" s="322" t="str">
        <f>IF(D125="","",IF(D125&gt;0.5,"Does not meet design criteria",""))</f>
        <v/>
      </c>
      <c r="F125" s="323"/>
      <c r="G125" s="323"/>
      <c r="H125" s="324"/>
    </row>
    <row r="126" spans="1:9" ht="15" customHeight="1" x14ac:dyDescent="0.25">
      <c r="A126" s="242" t="s">
        <v>378</v>
      </c>
      <c r="B126" s="243"/>
      <c r="C126" s="244"/>
      <c r="D126" s="43"/>
      <c r="E126" s="322" t="str">
        <f>IF(D126="","",IF(D126&lt;3,"Does not meet design criteria",""))</f>
        <v/>
      </c>
      <c r="F126" s="323"/>
      <c r="G126" s="323"/>
      <c r="H126" s="324"/>
    </row>
    <row r="127" spans="1:9" ht="15" customHeight="1" x14ac:dyDescent="0.25">
      <c r="A127" s="242" t="s">
        <v>558</v>
      </c>
      <c r="B127" s="243"/>
      <c r="C127" s="244"/>
      <c r="D127" s="43"/>
      <c r="E127" s="322" t="str">
        <f>IF(D127="","",IF(D127&gt;4,"Does not meet design criteria",IF(D127&lt;2.5,"Does not meet design criteria","")))</f>
        <v/>
      </c>
      <c r="F127" s="323"/>
      <c r="G127" s="323"/>
      <c r="H127" s="324"/>
    </row>
    <row r="128" spans="1:9" ht="15" customHeight="1" x14ac:dyDescent="0.25">
      <c r="A128" s="242" t="s">
        <v>402</v>
      </c>
      <c r="B128" s="243"/>
      <c r="C128" s="244"/>
      <c r="D128" s="43"/>
      <c r="E128" s="322" t="str">
        <f>IF(D128="","",IF(D128&lt;10,"Does not meet design criteria",""))</f>
        <v/>
      </c>
      <c r="F128" s="323"/>
      <c r="G128" s="323"/>
      <c r="H128" s="324"/>
    </row>
    <row r="129" spans="1:16" ht="15" customHeight="1" x14ac:dyDescent="0.25">
      <c r="A129" s="242" t="s">
        <v>520</v>
      </c>
      <c r="B129" s="243"/>
      <c r="C129" s="244"/>
      <c r="D129" s="43"/>
      <c r="E129" s="322" t="str">
        <f>IF(D129&gt;15,"Does not meet design criteria","")</f>
        <v/>
      </c>
      <c r="F129" s="323"/>
      <c r="G129" s="323"/>
      <c r="H129" s="324"/>
    </row>
    <row r="130" spans="1:16" ht="15" customHeight="1" x14ac:dyDescent="0.25">
      <c r="A130" s="242" t="s">
        <v>521</v>
      </c>
      <c r="B130" s="243"/>
      <c r="C130" s="244"/>
      <c r="D130" s="43"/>
      <c r="E130" s="322" t="str">
        <f>IF(D130="","",IF(D130&lt;12,"Does not meet design criteria",""))</f>
        <v/>
      </c>
      <c r="F130" s="323"/>
      <c r="G130" s="323"/>
      <c r="H130" s="324"/>
    </row>
    <row r="131" spans="1:16" ht="15" customHeight="1" x14ac:dyDescent="0.25">
      <c r="A131" s="236" t="s">
        <v>232</v>
      </c>
      <c r="B131" s="237"/>
      <c r="C131" s="237"/>
      <c r="D131" s="237"/>
      <c r="E131" s="237"/>
      <c r="F131" s="237"/>
      <c r="G131" s="237"/>
      <c r="H131" s="238"/>
    </row>
    <row r="132" spans="1:16" ht="15" customHeight="1" x14ac:dyDescent="0.25">
      <c r="A132" s="35"/>
      <c r="B132" s="36"/>
      <c r="C132" s="36"/>
      <c r="D132" s="37"/>
      <c r="E132" s="302" t="s">
        <v>256</v>
      </c>
      <c r="F132" s="302"/>
      <c r="G132" s="38" t="s">
        <v>257</v>
      </c>
      <c r="H132" s="38" t="s">
        <v>258</v>
      </c>
    </row>
    <row r="133" spans="1:16" ht="15" customHeight="1" x14ac:dyDescent="0.25">
      <c r="A133" s="266" t="s">
        <v>306</v>
      </c>
      <c r="B133" s="267"/>
      <c r="C133" s="268"/>
      <c r="D133" s="198" t="s">
        <v>307</v>
      </c>
      <c r="E133" s="289">
        <v>1</v>
      </c>
      <c r="F133" s="289"/>
      <c r="G133" s="193" t="s">
        <v>308</v>
      </c>
      <c r="H133" s="219" t="str">
        <f>IF(E133&gt;1,"Sizing as Filter","")</f>
        <v/>
      </c>
    </row>
    <row r="134" spans="1:16" ht="15" customHeight="1" x14ac:dyDescent="0.25">
      <c r="A134" s="289" t="s">
        <v>388</v>
      </c>
      <c r="B134" s="289"/>
      <c r="C134" s="289"/>
      <c r="D134" s="198" t="s">
        <v>312</v>
      </c>
      <c r="E134" s="289">
        <v>2</v>
      </c>
      <c r="F134" s="289"/>
      <c r="G134" s="193" t="s">
        <v>313</v>
      </c>
      <c r="H134" s="192"/>
    </row>
    <row r="135" spans="1:16" ht="15" customHeight="1" x14ac:dyDescent="0.25">
      <c r="A135" s="266" t="s">
        <v>381</v>
      </c>
      <c r="B135" s="267"/>
      <c r="C135" s="268"/>
      <c r="D135" s="198" t="s">
        <v>315</v>
      </c>
      <c r="E135" s="308" t="e">
        <f>ROUND((F116*D127)/(E133*(D125+D127)*E134),0)</f>
        <v>#VALUE!</v>
      </c>
      <c r="F135" s="308"/>
      <c r="G135" s="193" t="s">
        <v>316</v>
      </c>
      <c r="H135" s="192"/>
    </row>
    <row r="136" spans="1:16" ht="15" customHeight="1" x14ac:dyDescent="0.25">
      <c r="A136" s="266" t="s">
        <v>382</v>
      </c>
      <c r="B136" s="267"/>
      <c r="C136" s="268"/>
      <c r="D136" s="198" t="s">
        <v>315</v>
      </c>
      <c r="E136" s="336"/>
      <c r="F136" s="336"/>
      <c r="G136" s="193" t="s">
        <v>316</v>
      </c>
      <c r="H136" s="219" t="str">
        <f>IF(E136="","",IF(E136&lt;E135,"Does not meet sizing criteria",""))</f>
        <v/>
      </c>
    </row>
    <row r="137" spans="1:16" ht="30" customHeight="1" x14ac:dyDescent="0.25">
      <c r="A137" s="266" t="s">
        <v>383</v>
      </c>
      <c r="B137" s="267"/>
      <c r="C137" s="268"/>
      <c r="D137" s="198" t="s">
        <v>384</v>
      </c>
      <c r="E137" s="266" t="str">
        <f>IF(E136="","",(E136*(E133*(D125+D127)*E134))/D127)</f>
        <v/>
      </c>
      <c r="F137" s="268"/>
      <c r="G137" s="193" t="s">
        <v>2</v>
      </c>
      <c r="H137" s="219" t="str">
        <f>IF(E137="","",IF(E136&gt;E137,"Does not meet sizing criteria",""))</f>
        <v/>
      </c>
    </row>
    <row r="138" spans="1:16" ht="15" customHeight="1" x14ac:dyDescent="0.25">
      <c r="A138" s="236" t="s">
        <v>276</v>
      </c>
      <c r="B138" s="237"/>
      <c r="C138" s="237"/>
      <c r="D138" s="237"/>
      <c r="E138" s="237"/>
      <c r="F138" s="237"/>
      <c r="G138" s="237"/>
      <c r="H138" s="238"/>
    </row>
    <row r="139" spans="1:16" s="34" customFormat="1" ht="30.25" customHeight="1" x14ac:dyDescent="0.3">
      <c r="A139" s="335" t="s">
        <v>241</v>
      </c>
      <c r="B139" s="335"/>
      <c r="C139" s="9" t="str">
        <f>IF(A116="","",IF(D120="Yes",0,IF(D121="Yes",0,IF(D124="No",0,IF(D125&gt;0.5,0,IF(D126&lt;3,0,IF(D127&lt;2.5,0,IF(D127&gt;4,0,IF(D128&lt;10,0,IF(D129&gt;15,0,IF(D130&lt;12,0,IF(E136&lt;E135,0,IF(AND(E136&gt;=E135,E137*0.4&lt;F116),E137*0.4,IF(AND(E136&gt;=E135,E137*0.4&gt;F116),F116))))))))))))))</f>
        <v/>
      </c>
      <c r="D139" s="339" t="s">
        <v>2</v>
      </c>
      <c r="E139" s="340"/>
      <c r="F139" s="340"/>
      <c r="G139" s="340"/>
      <c r="H139" s="341"/>
      <c r="I139" s="4"/>
      <c r="J139" s="4"/>
      <c r="K139" s="4"/>
      <c r="L139" s="4"/>
      <c r="M139" s="4"/>
      <c r="N139" s="4"/>
      <c r="O139" s="4"/>
      <c r="P139" s="4"/>
    </row>
    <row r="140" spans="1:16" ht="29.5" customHeight="1" x14ac:dyDescent="0.25">
      <c r="A140" s="392" t="s">
        <v>74</v>
      </c>
      <c r="B140" s="392"/>
      <c r="C140" s="157" t="str">
        <f>IF(A116="","",IF(D120="Yes",0,IF(C139=0,0,IF(E136&lt;E135,0,F116-C139))))</f>
        <v/>
      </c>
      <c r="D140" s="223" t="s">
        <v>2</v>
      </c>
      <c r="E140" s="417" t="s">
        <v>590</v>
      </c>
      <c r="F140" s="418"/>
      <c r="G140" s="418"/>
      <c r="H140" s="419"/>
    </row>
    <row r="141" spans="1:16" ht="15" customHeight="1" x14ac:dyDescent="0.3">
      <c r="A141" s="24" t="s">
        <v>56</v>
      </c>
      <c r="B141" s="23" t="str">
        <f>IF('STEP 2-WQv Calculation'!$B$4="","",'STEP 2-WQv Calculation'!$B$4)</f>
        <v/>
      </c>
      <c r="C141" s="31"/>
      <c r="D141" s="31"/>
      <c r="E141" s="32"/>
      <c r="F141" s="33"/>
      <c r="G141" s="33"/>
      <c r="H141" s="33"/>
    </row>
    <row r="142" spans="1:16" ht="15" customHeight="1" x14ac:dyDescent="0.25">
      <c r="A142" s="331" t="s">
        <v>293</v>
      </c>
      <c r="B142" s="332"/>
      <c r="C142" s="332"/>
      <c r="D142" s="332"/>
      <c r="E142" s="332"/>
      <c r="F142" s="332"/>
      <c r="G142" s="332"/>
      <c r="H142" s="333"/>
    </row>
    <row r="143" spans="1:16" ht="38.5" x14ac:dyDescent="0.25">
      <c r="A143" s="204" t="s">
        <v>60</v>
      </c>
      <c r="B143" s="205" t="s">
        <v>61</v>
      </c>
      <c r="C143" s="205" t="s">
        <v>62</v>
      </c>
      <c r="D143" s="205" t="s">
        <v>63</v>
      </c>
      <c r="E143" s="205" t="s">
        <v>64</v>
      </c>
      <c r="F143" s="205" t="s">
        <v>65</v>
      </c>
      <c r="G143" s="205" t="s">
        <v>244</v>
      </c>
      <c r="H143" s="206" t="s">
        <v>13</v>
      </c>
    </row>
    <row r="144" spans="1:16" ht="15" customHeight="1" x14ac:dyDescent="0.25">
      <c r="A144" s="17"/>
      <c r="B144" s="18" t="str">
        <f>IF($A144="","",(LOOKUP($A144,'STEP 2-WQv Calculation'!$A$8:$A$37,'STEP 2-WQv Calculation'!$B$8:$B$37)))</f>
        <v/>
      </c>
      <c r="C144" s="18" t="str">
        <f>IF($A144="","",(LOOKUP($A144,'STEP 2-WQv Calculation'!$A$8:$A$37,'STEP 2-WQv Calculation'!$C$8:$C$37)))</f>
        <v/>
      </c>
      <c r="D144" s="53" t="str">
        <f>IF($A144="","",(LOOKUP($A144,'STEP 2-WQv Calculation'!$A$8:$A$37,'STEP 2-WQv Calculation'!$D$8:$D$37)))</f>
        <v/>
      </c>
      <c r="E144" s="18" t="str">
        <f>IF($A144="","",(LOOKUP($A144,'STEP 2-WQv Calculation'!$A$8:$A$37,'STEP 2-WQv Calculation'!$E$8:$E$37)))</f>
        <v/>
      </c>
      <c r="F144" s="42" t="str">
        <f>IF($A144="","",(LOOKUP($A144,'STEP 2-WQv Calculation'!$A$8:$A$37,'STEP 2-WQv Calculation'!$F$8:$F$37)))</f>
        <v/>
      </c>
      <c r="G144" s="18">
        <f>'STEP 2-WQv Calculation'!$B$5</f>
        <v>0</v>
      </c>
      <c r="H144" s="29" t="str">
        <f>IF($A144="","",(LOOKUP($A144,'STEP 2-WQv Calculation'!$A$8:$A$37,'STEP 2-WQv Calculation'!$G$8:$G$37)))</f>
        <v/>
      </c>
    </row>
    <row r="145" spans="1:8" ht="30.25" customHeight="1" x14ac:dyDescent="0.25">
      <c r="A145" s="236" t="s">
        <v>226</v>
      </c>
      <c r="B145" s="237"/>
      <c r="C145" s="237"/>
      <c r="D145" s="237"/>
      <c r="E145" s="237"/>
      <c r="F145" s="237"/>
      <c r="G145" s="237"/>
      <c r="H145" s="238"/>
    </row>
    <row r="146" spans="1:8" ht="15" customHeight="1" x14ac:dyDescent="0.25">
      <c r="A146" s="242" t="s">
        <v>295</v>
      </c>
      <c r="B146" s="243"/>
      <c r="C146" s="244"/>
      <c r="D146" s="44"/>
      <c r="E146" s="322" t="str">
        <f>IF(D146="","",IF(D146&lt;0.5,"Underdrains required",""))</f>
        <v/>
      </c>
      <c r="F146" s="323"/>
      <c r="G146" s="323"/>
      <c r="H146" s="324"/>
    </row>
    <row r="147" spans="1:8" ht="30.25" customHeight="1" x14ac:dyDescent="0.25">
      <c r="A147" s="242" t="s">
        <v>588</v>
      </c>
      <c r="B147" s="243"/>
      <c r="C147" s="244"/>
      <c r="D147" s="211"/>
      <c r="E147" s="322" t="str">
        <f>IF(D147="Yes","Impermeable liner and underdrains required","")</f>
        <v/>
      </c>
      <c r="F147" s="323"/>
      <c r="G147" s="323"/>
      <c r="H147" s="324"/>
    </row>
    <row r="148" spans="1:8" ht="30.25" customHeight="1" x14ac:dyDescent="0.25">
      <c r="A148" s="242" t="s">
        <v>589</v>
      </c>
      <c r="B148" s="243"/>
      <c r="C148" s="244"/>
      <c r="D148" s="211"/>
      <c r="E148" s="322" t="str">
        <f>IF(D148="","Refer to Section 4.14 Stormwater Hotspots",IF(D148="Yes","Credit for RRv and WQv treated cannot be applied to first practice in series",""))</f>
        <v>Refer to Section 4.14 Stormwater Hotspots</v>
      </c>
      <c r="F148" s="323"/>
      <c r="G148" s="323"/>
      <c r="H148" s="324"/>
    </row>
    <row r="149" spans="1:8" ht="15" customHeight="1" x14ac:dyDescent="0.25">
      <c r="A149" s="242" t="s">
        <v>494</v>
      </c>
      <c r="B149" s="243"/>
      <c r="C149" s="244"/>
      <c r="D149" s="158" t="str">
        <f>IF(B144="","",IF(B144&gt;5,"Yes","No"))</f>
        <v/>
      </c>
      <c r="E149" s="322" t="str">
        <f>IF(D149="Yes","Does not meet design criteria","")</f>
        <v/>
      </c>
      <c r="F149" s="323"/>
      <c r="G149" s="323"/>
      <c r="H149" s="324"/>
    </row>
    <row r="150" spans="1:8" ht="15" customHeight="1" x14ac:dyDescent="0.25">
      <c r="A150" s="242" t="s">
        <v>296</v>
      </c>
      <c r="B150" s="243"/>
      <c r="C150" s="244"/>
      <c r="D150" s="43"/>
      <c r="E150" s="322" t="str">
        <f>IF(D150="","",IF(D150&lt;2,"Impermeable liner and underdrains required",""))</f>
        <v/>
      </c>
      <c r="F150" s="323"/>
      <c r="G150" s="323"/>
      <c r="H150" s="324"/>
    </row>
    <row r="151" spans="1:8" ht="15" customHeight="1" x14ac:dyDescent="0.25">
      <c r="A151" s="242" t="s">
        <v>297</v>
      </c>
      <c r="B151" s="243"/>
      <c r="C151" s="244"/>
      <c r="D151" s="43"/>
      <c r="E151" s="322" t="str">
        <f>IF(D151="","",IF(D151&lt;2,"Impermeable liner and underdrains required",""))</f>
        <v/>
      </c>
      <c r="F151" s="323"/>
      <c r="G151" s="323"/>
      <c r="H151" s="324"/>
    </row>
    <row r="152" spans="1:8" ht="15" customHeight="1" x14ac:dyDescent="0.25">
      <c r="A152" s="242" t="s">
        <v>710</v>
      </c>
      <c r="B152" s="243"/>
      <c r="C152" s="244"/>
      <c r="D152" s="211"/>
      <c r="E152" s="322" t="str">
        <f>IF(D152="No","Does not meet design criteria","")</f>
        <v/>
      </c>
      <c r="F152" s="323"/>
      <c r="G152" s="323"/>
      <c r="H152" s="324"/>
    </row>
    <row r="153" spans="1:8" ht="15" customHeight="1" x14ac:dyDescent="0.25">
      <c r="A153" s="242" t="s">
        <v>559</v>
      </c>
      <c r="B153" s="243"/>
      <c r="C153" s="244"/>
      <c r="D153" s="43"/>
      <c r="E153" s="322" t="str">
        <f>IF(D153="","",IF(D153&gt;0.5,"Does not meet design criteria",""))</f>
        <v/>
      </c>
      <c r="F153" s="323"/>
      <c r="G153" s="323"/>
      <c r="H153" s="324"/>
    </row>
    <row r="154" spans="1:8" ht="15" customHeight="1" x14ac:dyDescent="0.25">
      <c r="A154" s="242" t="s">
        <v>378</v>
      </c>
      <c r="B154" s="243"/>
      <c r="C154" s="244"/>
      <c r="D154" s="43"/>
      <c r="E154" s="322" t="str">
        <f>IF(D154="","",IF(D154&lt;3,"Does not meet design criteria",""))</f>
        <v/>
      </c>
      <c r="F154" s="323"/>
      <c r="G154" s="323"/>
      <c r="H154" s="324"/>
    </row>
    <row r="155" spans="1:8" ht="51" customHeight="1" x14ac:dyDescent="0.25">
      <c r="A155" s="242" t="s">
        <v>558</v>
      </c>
      <c r="B155" s="243"/>
      <c r="C155" s="244"/>
      <c r="D155" s="43"/>
      <c r="E155" s="322" t="str">
        <f>IF(D155="","",IF(D155&gt;4,"Does not meet design criteria",IF(D155&lt;2.5,"Does not meet design criteria","")))</f>
        <v/>
      </c>
      <c r="F155" s="323"/>
      <c r="G155" s="323"/>
      <c r="H155" s="324"/>
    </row>
    <row r="156" spans="1:8" x14ac:dyDescent="0.25">
      <c r="A156" s="242" t="s">
        <v>402</v>
      </c>
      <c r="B156" s="243"/>
      <c r="C156" s="244"/>
      <c r="D156" s="43"/>
      <c r="E156" s="322" t="str">
        <f>IF(D156="","",IF(D156&lt;10,"Does not meet design criteria",""))</f>
        <v/>
      </c>
      <c r="F156" s="323"/>
      <c r="G156" s="323"/>
      <c r="H156" s="324"/>
    </row>
    <row r="157" spans="1:8" x14ac:dyDescent="0.25">
      <c r="A157" s="242" t="s">
        <v>520</v>
      </c>
      <c r="B157" s="243"/>
      <c r="C157" s="244"/>
      <c r="D157" s="43"/>
      <c r="E157" s="322" t="str">
        <f>IF(D157&gt;15,"Does not meet design criteria","")</f>
        <v/>
      </c>
      <c r="F157" s="323"/>
      <c r="G157" s="323"/>
      <c r="H157" s="324"/>
    </row>
    <row r="158" spans="1:8" x14ac:dyDescent="0.25">
      <c r="A158" s="242" t="s">
        <v>521</v>
      </c>
      <c r="B158" s="243"/>
      <c r="C158" s="244"/>
      <c r="D158" s="43"/>
      <c r="E158" s="322" t="str">
        <f>IF(D158="","",IF(D158&lt;12,"Does not meet design criteria",""))</f>
        <v/>
      </c>
      <c r="F158" s="323"/>
      <c r="G158" s="323"/>
      <c r="H158" s="324"/>
    </row>
    <row r="159" spans="1:8" ht="13" x14ac:dyDescent="0.25">
      <c r="A159" s="236" t="s">
        <v>232</v>
      </c>
      <c r="B159" s="237"/>
      <c r="C159" s="237"/>
      <c r="D159" s="237"/>
      <c r="E159" s="237"/>
      <c r="F159" s="237"/>
      <c r="G159" s="237"/>
      <c r="H159" s="238"/>
    </row>
    <row r="160" spans="1:8" ht="13" x14ac:dyDescent="0.25">
      <c r="A160" s="35"/>
      <c r="B160" s="36"/>
      <c r="C160" s="36"/>
      <c r="D160" s="37"/>
      <c r="E160" s="302" t="s">
        <v>256</v>
      </c>
      <c r="F160" s="302"/>
      <c r="G160" s="38" t="s">
        <v>257</v>
      </c>
      <c r="H160" s="38" t="s">
        <v>258</v>
      </c>
    </row>
    <row r="161" spans="1:8" x14ac:dyDescent="0.25">
      <c r="A161" s="266" t="s">
        <v>306</v>
      </c>
      <c r="B161" s="267"/>
      <c r="C161" s="268"/>
      <c r="D161" s="198" t="s">
        <v>307</v>
      </c>
      <c r="E161" s="289">
        <v>1</v>
      </c>
      <c r="F161" s="289"/>
      <c r="G161" s="193" t="s">
        <v>308</v>
      </c>
      <c r="H161" s="219" t="str">
        <f>IF(E161&gt;1,"Sizing as Filter","")</f>
        <v/>
      </c>
    </row>
    <row r="162" spans="1:8" x14ac:dyDescent="0.25">
      <c r="A162" s="289" t="s">
        <v>388</v>
      </c>
      <c r="B162" s="289"/>
      <c r="C162" s="289"/>
      <c r="D162" s="198" t="s">
        <v>312</v>
      </c>
      <c r="E162" s="289">
        <v>2</v>
      </c>
      <c r="F162" s="289"/>
      <c r="G162" s="193" t="s">
        <v>313</v>
      </c>
      <c r="H162" s="192"/>
    </row>
    <row r="163" spans="1:8" x14ac:dyDescent="0.25">
      <c r="A163" s="266" t="s">
        <v>381</v>
      </c>
      <c r="B163" s="267"/>
      <c r="C163" s="268"/>
      <c r="D163" s="198" t="s">
        <v>315</v>
      </c>
      <c r="E163" s="308" t="e">
        <f>ROUND((F144*D155)/(E161*(D153+D155)*E162),0)</f>
        <v>#VALUE!</v>
      </c>
      <c r="F163" s="308"/>
      <c r="G163" s="193" t="s">
        <v>316</v>
      </c>
      <c r="H163" s="192"/>
    </row>
    <row r="164" spans="1:8" x14ac:dyDescent="0.25">
      <c r="A164" s="266" t="s">
        <v>382</v>
      </c>
      <c r="B164" s="267"/>
      <c r="C164" s="268"/>
      <c r="D164" s="198" t="s">
        <v>315</v>
      </c>
      <c r="E164" s="336"/>
      <c r="F164" s="336"/>
      <c r="G164" s="193" t="s">
        <v>316</v>
      </c>
      <c r="H164" s="219" t="str">
        <f>IF(E164="","",IF(E164&lt;E163,"Does not meet sizing criteria",""))</f>
        <v/>
      </c>
    </row>
    <row r="165" spans="1:8" x14ac:dyDescent="0.25">
      <c r="A165" s="266" t="s">
        <v>383</v>
      </c>
      <c r="B165" s="267"/>
      <c r="C165" s="268"/>
      <c r="D165" s="198" t="s">
        <v>384</v>
      </c>
      <c r="E165" s="266" t="str">
        <f>IF(E164="","",(E164*(E161*(D153+D155)*E162))/D155)</f>
        <v/>
      </c>
      <c r="F165" s="268"/>
      <c r="G165" s="193" t="s">
        <v>2</v>
      </c>
      <c r="H165" s="219" t="str">
        <f>IF(E165="","",IF(E164&gt;E165,"Does not meet sizing criteria",""))</f>
        <v/>
      </c>
    </row>
    <row r="166" spans="1:8" ht="13" x14ac:dyDescent="0.25">
      <c r="A166" s="236" t="s">
        <v>276</v>
      </c>
      <c r="B166" s="237"/>
      <c r="C166" s="237"/>
      <c r="D166" s="237"/>
      <c r="E166" s="237"/>
      <c r="F166" s="237"/>
      <c r="G166" s="237"/>
      <c r="H166" s="238"/>
    </row>
    <row r="167" spans="1:8" ht="13" x14ac:dyDescent="0.25">
      <c r="A167" s="335" t="s">
        <v>241</v>
      </c>
      <c r="B167" s="335"/>
      <c r="C167" s="9" t="str">
        <f>IF(A144="","",IF(D148="Yes",0,IF(D149="Yes",0,IF(D152="No",0,IF(D153&gt;0.5,0,IF(D154&lt;3,0,IF(D155&lt;2.5,0,IF(D155&gt;4,0,IF(D156&lt;10,0,IF(D157&gt;15,0,IF(D158&lt;12,0,IF(E164&lt;E163,0,IF(AND(E164&gt;=E163,E165*0.4&lt;F144),E165*0.4,IF(AND(E164&gt;=E163,E165*0.4&gt;F144),F144))))))))))))))</f>
        <v/>
      </c>
      <c r="D167" s="339" t="s">
        <v>2</v>
      </c>
      <c r="E167" s="340"/>
      <c r="F167" s="340"/>
      <c r="G167" s="340"/>
      <c r="H167" s="341"/>
    </row>
    <row r="168" spans="1:8" x14ac:dyDescent="0.25">
      <c r="A168" s="392" t="s">
        <v>74</v>
      </c>
      <c r="B168" s="392"/>
      <c r="C168" s="157" t="str">
        <f>IF(A144="","",IF(D148="Yes",0,IF(C167=0,0,IF(E164&lt;E163,0,F144-C167))))</f>
        <v/>
      </c>
      <c r="D168" s="223" t="s">
        <v>2</v>
      </c>
      <c r="E168" s="417" t="s">
        <v>590</v>
      </c>
      <c r="F168" s="418"/>
      <c r="G168" s="418"/>
      <c r="H168" s="419"/>
    </row>
    <row r="169" spans="1:8" ht="13" x14ac:dyDescent="0.3">
      <c r="A169" s="24" t="s">
        <v>56</v>
      </c>
      <c r="B169" s="23" t="str">
        <f>IF('STEP 2-WQv Calculation'!$B$4="","",'STEP 2-WQv Calculation'!$B$4)</f>
        <v/>
      </c>
      <c r="C169" s="31"/>
      <c r="D169" s="31"/>
      <c r="E169" s="32"/>
      <c r="F169" s="33"/>
      <c r="G169" s="33"/>
      <c r="H169" s="33"/>
    </row>
    <row r="170" spans="1:8" ht="13" x14ac:dyDescent="0.25">
      <c r="A170" s="331" t="s">
        <v>293</v>
      </c>
      <c r="B170" s="332"/>
      <c r="C170" s="332"/>
      <c r="D170" s="332"/>
      <c r="E170" s="332"/>
      <c r="F170" s="332"/>
      <c r="G170" s="332"/>
      <c r="H170" s="333"/>
    </row>
    <row r="171" spans="1:8" ht="38.5" x14ac:dyDescent="0.25">
      <c r="A171" s="204" t="s">
        <v>60</v>
      </c>
      <c r="B171" s="205" t="s">
        <v>61</v>
      </c>
      <c r="C171" s="205" t="s">
        <v>62</v>
      </c>
      <c r="D171" s="205" t="s">
        <v>63</v>
      </c>
      <c r="E171" s="205" t="s">
        <v>64</v>
      </c>
      <c r="F171" s="205" t="s">
        <v>65</v>
      </c>
      <c r="G171" s="205" t="s">
        <v>244</v>
      </c>
      <c r="H171" s="206" t="s">
        <v>13</v>
      </c>
    </row>
    <row r="172" spans="1:8" x14ac:dyDescent="0.25">
      <c r="A172" s="17"/>
      <c r="B172" s="18" t="str">
        <f>IF($A172="","",(LOOKUP($A172,'STEP 2-WQv Calculation'!$A$8:$A$37,'STEP 2-WQv Calculation'!$B$8:$B$37)))</f>
        <v/>
      </c>
      <c r="C172" s="18" t="str">
        <f>IF($A172="","",(LOOKUP($A172,'STEP 2-WQv Calculation'!$A$8:$A$37,'STEP 2-WQv Calculation'!$C$8:$C$37)))</f>
        <v/>
      </c>
      <c r="D172" s="53" t="str">
        <f>IF($A172="","",(LOOKUP($A172,'STEP 2-WQv Calculation'!$A$8:$A$37,'STEP 2-WQv Calculation'!$D$8:$D$37)))</f>
        <v/>
      </c>
      <c r="E172" s="18" t="str">
        <f>IF($A172="","",(LOOKUP($A172,'STEP 2-WQv Calculation'!$A$8:$A$37,'STEP 2-WQv Calculation'!$E$8:$E$37)))</f>
        <v/>
      </c>
      <c r="F172" s="42" t="str">
        <f>IF($A172="","",(LOOKUP($A172,'STEP 2-WQv Calculation'!$A$8:$A$37,'STEP 2-WQv Calculation'!$F$8:$F$37)))</f>
        <v/>
      </c>
      <c r="G172" s="18">
        <f>'STEP 2-WQv Calculation'!$B$5</f>
        <v>0</v>
      </c>
      <c r="H172" s="29" t="str">
        <f>IF($A172="","",(LOOKUP($A172,'STEP 2-WQv Calculation'!$A$8:$A$37,'STEP 2-WQv Calculation'!$G$8:$G$37)))</f>
        <v/>
      </c>
    </row>
    <row r="173" spans="1:8" ht="13" x14ac:dyDescent="0.25">
      <c r="A173" s="236" t="s">
        <v>226</v>
      </c>
      <c r="B173" s="237"/>
      <c r="C173" s="237"/>
      <c r="D173" s="237"/>
      <c r="E173" s="237"/>
      <c r="F173" s="237"/>
      <c r="G173" s="237"/>
      <c r="H173" s="238"/>
    </row>
    <row r="174" spans="1:8" x14ac:dyDescent="0.25">
      <c r="A174" s="242" t="s">
        <v>295</v>
      </c>
      <c r="B174" s="243"/>
      <c r="C174" s="244"/>
      <c r="D174" s="44"/>
      <c r="E174" s="322" t="str">
        <f>IF(D174="","",IF(D174&lt;0.5,"Underdrains required",""))</f>
        <v/>
      </c>
      <c r="F174" s="323"/>
      <c r="G174" s="323"/>
      <c r="H174" s="324"/>
    </row>
    <row r="175" spans="1:8" x14ac:dyDescent="0.25">
      <c r="A175" s="242" t="s">
        <v>588</v>
      </c>
      <c r="B175" s="243"/>
      <c r="C175" s="244"/>
      <c r="D175" s="211"/>
      <c r="E175" s="322" t="str">
        <f>IF(D175="Yes","Impermeable liner and underdrains required","")</f>
        <v/>
      </c>
      <c r="F175" s="323"/>
      <c r="G175" s="323"/>
      <c r="H175" s="324"/>
    </row>
    <row r="176" spans="1:8" x14ac:dyDescent="0.25">
      <c r="A176" s="242" t="s">
        <v>589</v>
      </c>
      <c r="B176" s="243"/>
      <c r="C176" s="244"/>
      <c r="D176" s="211"/>
      <c r="E176" s="322" t="str">
        <f>IF(D176="","Refer to Section 4.14 Stormwater Hotspots",IF(D176="Yes","Credit for RRv and WQv treated cannot be applied to first practice in series",""))</f>
        <v>Refer to Section 4.14 Stormwater Hotspots</v>
      </c>
      <c r="F176" s="323"/>
      <c r="G176" s="323"/>
      <c r="H176" s="324"/>
    </row>
    <row r="177" spans="1:8" x14ac:dyDescent="0.25">
      <c r="A177" s="242" t="s">
        <v>494</v>
      </c>
      <c r="B177" s="243"/>
      <c r="C177" s="244"/>
      <c r="D177" s="158" t="str">
        <f>IF(B172="","",IF(B172&gt;5,"Yes","No"))</f>
        <v/>
      </c>
      <c r="E177" s="322" t="str">
        <f>IF(D177="Yes","Does not meet design criteria","")</f>
        <v/>
      </c>
      <c r="F177" s="323"/>
      <c r="G177" s="323"/>
      <c r="H177" s="324"/>
    </row>
    <row r="178" spans="1:8" x14ac:dyDescent="0.25">
      <c r="A178" s="242" t="s">
        <v>296</v>
      </c>
      <c r="B178" s="243"/>
      <c r="C178" s="244"/>
      <c r="D178" s="43"/>
      <c r="E178" s="322" t="str">
        <f>IF(D178="","",IF(D178&lt;2,"Impermeable liner and underdrains required",""))</f>
        <v/>
      </c>
      <c r="F178" s="323"/>
      <c r="G178" s="323"/>
      <c r="H178" s="324"/>
    </row>
    <row r="179" spans="1:8" x14ac:dyDescent="0.25">
      <c r="A179" s="242" t="s">
        <v>297</v>
      </c>
      <c r="B179" s="243"/>
      <c r="C179" s="244"/>
      <c r="D179" s="43"/>
      <c r="E179" s="322" t="str">
        <f>IF(D179="","",IF(D179&lt;2,"Impermeable liner and underdrains required",""))</f>
        <v/>
      </c>
      <c r="F179" s="323"/>
      <c r="G179" s="323"/>
      <c r="H179" s="324"/>
    </row>
    <row r="180" spans="1:8" x14ac:dyDescent="0.25">
      <c r="A180" s="242" t="s">
        <v>710</v>
      </c>
      <c r="B180" s="243"/>
      <c r="C180" s="244"/>
      <c r="D180" s="211"/>
      <c r="E180" s="322" t="str">
        <f>IF(D180="No","Does not meet design criteria","")</f>
        <v/>
      </c>
      <c r="F180" s="323"/>
      <c r="G180" s="323"/>
      <c r="H180" s="324"/>
    </row>
    <row r="181" spans="1:8" x14ac:dyDescent="0.25">
      <c r="A181" s="242" t="s">
        <v>559</v>
      </c>
      <c r="B181" s="243"/>
      <c r="C181" s="244"/>
      <c r="D181" s="43"/>
      <c r="E181" s="322" t="str">
        <f>IF(D181="","",IF(D181&gt;0.5,"Does not meet design criteria",""))</f>
        <v/>
      </c>
      <c r="F181" s="323"/>
      <c r="G181" s="323"/>
      <c r="H181" s="324"/>
    </row>
    <row r="182" spans="1:8" x14ac:dyDescent="0.25">
      <c r="A182" s="242" t="s">
        <v>378</v>
      </c>
      <c r="B182" s="243"/>
      <c r="C182" s="244"/>
      <c r="D182" s="43"/>
      <c r="E182" s="322" t="str">
        <f>IF(D182="","",IF(D182&lt;3,"Does not meet design criteria",""))</f>
        <v/>
      </c>
      <c r="F182" s="323"/>
      <c r="G182" s="323"/>
      <c r="H182" s="324"/>
    </row>
    <row r="183" spans="1:8" x14ac:dyDescent="0.25">
      <c r="A183" s="242" t="s">
        <v>558</v>
      </c>
      <c r="B183" s="243"/>
      <c r="C183" s="244"/>
      <c r="D183" s="43"/>
      <c r="E183" s="322" t="str">
        <f>IF(D183="","",IF(D183&gt;4,"Does not meet design criteria",IF(D183&lt;2.5,"Does not meet design criteria","")))</f>
        <v/>
      </c>
      <c r="F183" s="323"/>
      <c r="G183" s="323"/>
      <c r="H183" s="324"/>
    </row>
    <row r="184" spans="1:8" x14ac:dyDescent="0.25">
      <c r="A184" s="242" t="s">
        <v>402</v>
      </c>
      <c r="B184" s="243"/>
      <c r="C184" s="244"/>
      <c r="D184" s="43"/>
      <c r="E184" s="322" t="str">
        <f>IF(D184="","",IF(D184&lt;10,"Does not meet design criteria",""))</f>
        <v/>
      </c>
      <c r="F184" s="323"/>
      <c r="G184" s="323"/>
      <c r="H184" s="324"/>
    </row>
    <row r="185" spans="1:8" x14ac:dyDescent="0.25">
      <c r="A185" s="242" t="s">
        <v>520</v>
      </c>
      <c r="B185" s="243"/>
      <c r="C185" s="244"/>
      <c r="D185" s="43"/>
      <c r="E185" s="322" t="str">
        <f>IF(D185&gt;15,"Does not meet design criteria","")</f>
        <v/>
      </c>
      <c r="F185" s="323"/>
      <c r="G185" s="323"/>
      <c r="H185" s="324"/>
    </row>
    <row r="186" spans="1:8" x14ac:dyDescent="0.25">
      <c r="A186" s="242" t="s">
        <v>521</v>
      </c>
      <c r="B186" s="243"/>
      <c r="C186" s="244"/>
      <c r="D186" s="43"/>
      <c r="E186" s="322" t="str">
        <f>IF(D186="","",IF(D186&lt;12,"Does not meet design criteria",""))</f>
        <v/>
      </c>
      <c r="F186" s="323"/>
      <c r="G186" s="323"/>
      <c r="H186" s="324"/>
    </row>
    <row r="187" spans="1:8" ht="13" x14ac:dyDescent="0.25">
      <c r="A187" s="236" t="s">
        <v>232</v>
      </c>
      <c r="B187" s="237"/>
      <c r="C187" s="237"/>
      <c r="D187" s="237"/>
      <c r="E187" s="237"/>
      <c r="F187" s="237"/>
      <c r="G187" s="237"/>
      <c r="H187" s="238"/>
    </row>
    <row r="188" spans="1:8" ht="13" x14ac:dyDescent="0.25">
      <c r="A188" s="35"/>
      <c r="B188" s="36"/>
      <c r="C188" s="36"/>
      <c r="D188" s="37"/>
      <c r="E188" s="302" t="s">
        <v>256</v>
      </c>
      <c r="F188" s="302"/>
      <c r="G188" s="38" t="s">
        <v>257</v>
      </c>
      <c r="H188" s="38" t="s">
        <v>258</v>
      </c>
    </row>
    <row r="189" spans="1:8" x14ac:dyDescent="0.25">
      <c r="A189" s="266" t="s">
        <v>306</v>
      </c>
      <c r="B189" s="267"/>
      <c r="C189" s="268"/>
      <c r="D189" s="198" t="s">
        <v>307</v>
      </c>
      <c r="E189" s="289">
        <v>1</v>
      </c>
      <c r="F189" s="289"/>
      <c r="G189" s="193" t="s">
        <v>308</v>
      </c>
      <c r="H189" s="219" t="str">
        <f>IF(E189&gt;1,"Sizing as Filter","")</f>
        <v/>
      </c>
    </row>
    <row r="190" spans="1:8" x14ac:dyDescent="0.25">
      <c r="A190" s="289" t="s">
        <v>388</v>
      </c>
      <c r="B190" s="289"/>
      <c r="C190" s="289"/>
      <c r="D190" s="198" t="s">
        <v>312</v>
      </c>
      <c r="E190" s="289">
        <v>2</v>
      </c>
      <c r="F190" s="289"/>
      <c r="G190" s="193" t="s">
        <v>313</v>
      </c>
      <c r="H190" s="192"/>
    </row>
    <row r="191" spans="1:8" x14ac:dyDescent="0.25">
      <c r="A191" s="266" t="s">
        <v>381</v>
      </c>
      <c r="B191" s="267"/>
      <c r="C191" s="268"/>
      <c r="D191" s="198" t="s">
        <v>315</v>
      </c>
      <c r="E191" s="308" t="e">
        <f>ROUND((F172*D183)/(E189*(D181+D183)*E190),0)</f>
        <v>#VALUE!</v>
      </c>
      <c r="F191" s="308"/>
      <c r="G191" s="193" t="s">
        <v>316</v>
      </c>
      <c r="H191" s="192"/>
    </row>
    <row r="192" spans="1:8" x14ac:dyDescent="0.25">
      <c r="A192" s="266" t="s">
        <v>382</v>
      </c>
      <c r="B192" s="267"/>
      <c r="C192" s="268"/>
      <c r="D192" s="198" t="s">
        <v>315</v>
      </c>
      <c r="E192" s="336"/>
      <c r="F192" s="336"/>
      <c r="G192" s="193" t="s">
        <v>316</v>
      </c>
      <c r="H192" s="219" t="str">
        <f>IF(E192="","",IF(E192&lt;E191,"Does not meet sizing criteria",""))</f>
        <v/>
      </c>
    </row>
    <row r="193" spans="1:8" x14ac:dyDescent="0.25">
      <c r="A193" s="266" t="s">
        <v>383</v>
      </c>
      <c r="B193" s="267"/>
      <c r="C193" s="268"/>
      <c r="D193" s="198" t="s">
        <v>384</v>
      </c>
      <c r="E193" s="266" t="str">
        <f>IF(E192="","",(E192*(E189*(D181+D183)*E190))/D183)</f>
        <v/>
      </c>
      <c r="F193" s="268"/>
      <c r="G193" s="193" t="s">
        <v>2</v>
      </c>
      <c r="H193" s="219" t="str">
        <f>IF(E193="","",IF(E192&gt;E193,"Does not meet sizing criteria",""))</f>
        <v/>
      </c>
    </row>
    <row r="194" spans="1:8" ht="13" x14ac:dyDescent="0.25">
      <c r="A194" s="236" t="s">
        <v>276</v>
      </c>
      <c r="B194" s="237"/>
      <c r="C194" s="237"/>
      <c r="D194" s="237"/>
      <c r="E194" s="237"/>
      <c r="F194" s="237"/>
      <c r="G194" s="237"/>
      <c r="H194" s="238"/>
    </row>
    <row r="195" spans="1:8" ht="13" x14ac:dyDescent="0.25">
      <c r="A195" s="335" t="s">
        <v>241</v>
      </c>
      <c r="B195" s="335"/>
      <c r="C195" s="9" t="str">
        <f>IF(A172="","",IF(D176="Yes",0,IF(D177="Yes",0,IF(D180="No",0,IF(D181&gt;0.5,0,IF(D182&lt;3,0,IF(D183&lt;2.5,0,IF(D183&gt;4,0,IF(D184&lt;10,0,IF(D185&gt;15,0,IF(D186&lt;12,0,IF(E192&lt;E191,0,IF(AND(E192&gt;=E191,E193*0.4&lt;F172),E193*0.4,IF(AND(E192&gt;=E191,E193*0.4&gt;F172),F172))))))))))))))</f>
        <v/>
      </c>
      <c r="D195" s="339" t="s">
        <v>2</v>
      </c>
      <c r="E195" s="340"/>
      <c r="F195" s="340"/>
      <c r="G195" s="340"/>
      <c r="H195" s="341"/>
    </row>
    <row r="196" spans="1:8" x14ac:dyDescent="0.25">
      <c r="A196" s="392" t="s">
        <v>74</v>
      </c>
      <c r="B196" s="392"/>
      <c r="C196" s="157" t="str">
        <f>IF(A172="","",IF(D176="Yes",0,IF(C195=0,0,IF(E192&lt;E191,0,F172-C195))))</f>
        <v/>
      </c>
      <c r="D196" s="223" t="s">
        <v>2</v>
      </c>
      <c r="E196" s="417" t="s">
        <v>590</v>
      </c>
      <c r="F196" s="418"/>
      <c r="G196" s="418"/>
      <c r="H196" s="419"/>
    </row>
    <row r="197" spans="1:8" ht="13" x14ac:dyDescent="0.3">
      <c r="A197" s="24" t="s">
        <v>56</v>
      </c>
      <c r="B197" s="23" t="str">
        <f>IF('STEP 2-WQv Calculation'!$B$4="","",'STEP 2-WQv Calculation'!$B$4)</f>
        <v/>
      </c>
      <c r="C197" s="31"/>
      <c r="D197" s="31"/>
      <c r="E197" s="32"/>
      <c r="F197" s="33"/>
      <c r="G197" s="33"/>
      <c r="H197" s="33"/>
    </row>
    <row r="198" spans="1:8" ht="13" x14ac:dyDescent="0.25">
      <c r="A198" s="331" t="s">
        <v>293</v>
      </c>
      <c r="B198" s="332"/>
      <c r="C198" s="332"/>
      <c r="D198" s="332"/>
      <c r="E198" s="332"/>
      <c r="F198" s="332"/>
      <c r="G198" s="332"/>
      <c r="H198" s="333"/>
    </row>
    <row r="199" spans="1:8" ht="38.5" x14ac:dyDescent="0.25">
      <c r="A199" s="204" t="s">
        <v>60</v>
      </c>
      <c r="B199" s="205" t="s">
        <v>61</v>
      </c>
      <c r="C199" s="205" t="s">
        <v>62</v>
      </c>
      <c r="D199" s="205" t="s">
        <v>63</v>
      </c>
      <c r="E199" s="205" t="s">
        <v>64</v>
      </c>
      <c r="F199" s="205" t="s">
        <v>65</v>
      </c>
      <c r="G199" s="205" t="s">
        <v>244</v>
      </c>
      <c r="H199" s="206" t="s">
        <v>13</v>
      </c>
    </row>
    <row r="200" spans="1:8" x14ac:dyDescent="0.25">
      <c r="A200" s="17"/>
      <c r="B200" s="18" t="str">
        <f>IF($A200="","",(LOOKUP($A200,'STEP 2-WQv Calculation'!$A$8:$A$37,'STEP 2-WQv Calculation'!$B$8:$B$37)))</f>
        <v/>
      </c>
      <c r="C200" s="18" t="str">
        <f>IF($A200="","",(LOOKUP($A200,'STEP 2-WQv Calculation'!$A$8:$A$37,'STEP 2-WQv Calculation'!$C$8:$C$37)))</f>
        <v/>
      </c>
      <c r="D200" s="53" t="str">
        <f>IF($A200="","",(LOOKUP($A200,'STEP 2-WQv Calculation'!$A$8:$A$37,'STEP 2-WQv Calculation'!$D$8:$D$37)))</f>
        <v/>
      </c>
      <c r="E200" s="18" t="str">
        <f>IF($A200="","",(LOOKUP($A200,'STEP 2-WQv Calculation'!$A$8:$A$37,'STEP 2-WQv Calculation'!$E$8:$E$37)))</f>
        <v/>
      </c>
      <c r="F200" s="42" t="str">
        <f>IF($A200="","",(LOOKUP($A200,'STEP 2-WQv Calculation'!$A$8:$A$37,'STEP 2-WQv Calculation'!$F$8:$F$37)))</f>
        <v/>
      </c>
      <c r="G200" s="18">
        <f>'STEP 2-WQv Calculation'!$B$5</f>
        <v>0</v>
      </c>
      <c r="H200" s="29" t="str">
        <f>IF($A200="","",(LOOKUP($A200,'STEP 2-WQv Calculation'!$A$8:$A$37,'STEP 2-WQv Calculation'!$G$8:$G$37)))</f>
        <v/>
      </c>
    </row>
    <row r="201" spans="1:8" ht="13" x14ac:dyDescent="0.25">
      <c r="A201" s="236" t="s">
        <v>226</v>
      </c>
      <c r="B201" s="237"/>
      <c r="C201" s="237"/>
      <c r="D201" s="237"/>
      <c r="E201" s="237"/>
      <c r="F201" s="237"/>
      <c r="G201" s="237"/>
      <c r="H201" s="238"/>
    </row>
    <row r="202" spans="1:8" x14ac:dyDescent="0.25">
      <c r="A202" s="242" t="s">
        <v>295</v>
      </c>
      <c r="B202" s="243"/>
      <c r="C202" s="244"/>
      <c r="D202" s="44"/>
      <c r="E202" s="322" t="str">
        <f>IF(D202="","",IF(D202&lt;0.5,"Underdrains required",""))</f>
        <v/>
      </c>
      <c r="F202" s="323"/>
      <c r="G202" s="323"/>
      <c r="H202" s="324"/>
    </row>
    <row r="203" spans="1:8" x14ac:dyDescent="0.25">
      <c r="A203" s="242" t="s">
        <v>588</v>
      </c>
      <c r="B203" s="243"/>
      <c r="C203" s="244"/>
      <c r="D203" s="211"/>
      <c r="E203" s="322" t="str">
        <f>IF(D203="Yes","Impermeable liner and underdrains required","")</f>
        <v/>
      </c>
      <c r="F203" s="323"/>
      <c r="G203" s="323"/>
      <c r="H203" s="324"/>
    </row>
    <row r="204" spans="1:8" x14ac:dyDescent="0.25">
      <c r="A204" s="242" t="s">
        <v>589</v>
      </c>
      <c r="B204" s="243"/>
      <c r="C204" s="244"/>
      <c r="D204" s="211"/>
      <c r="E204" s="322" t="str">
        <f>IF(D204="","Refer to Section 4.14 Stormwater Hotspots",IF(D204="Yes","Credit for RRv and WQv treated cannot be applied to first practice in series",""))</f>
        <v>Refer to Section 4.14 Stormwater Hotspots</v>
      </c>
      <c r="F204" s="323"/>
      <c r="G204" s="323"/>
      <c r="H204" s="324"/>
    </row>
    <row r="205" spans="1:8" x14ac:dyDescent="0.25">
      <c r="A205" s="242" t="s">
        <v>494</v>
      </c>
      <c r="B205" s="243"/>
      <c r="C205" s="244"/>
      <c r="D205" s="158" t="str">
        <f>IF(B200="","",IF(B200&gt;5,"Yes","No"))</f>
        <v/>
      </c>
      <c r="E205" s="322" t="str">
        <f>IF(D205="Yes","Does not meet design criteria","")</f>
        <v/>
      </c>
      <c r="F205" s="323"/>
      <c r="G205" s="323"/>
      <c r="H205" s="324"/>
    </row>
    <row r="206" spans="1:8" x14ac:dyDescent="0.25">
      <c r="A206" s="242" t="s">
        <v>296</v>
      </c>
      <c r="B206" s="243"/>
      <c r="C206" s="244"/>
      <c r="D206" s="43"/>
      <c r="E206" s="322" t="str">
        <f>IF(D206="","",IF(D206&lt;2,"Impermeable liner and underdrains required",""))</f>
        <v/>
      </c>
      <c r="F206" s="323"/>
      <c r="G206" s="323"/>
      <c r="H206" s="324"/>
    </row>
    <row r="207" spans="1:8" x14ac:dyDescent="0.25">
      <c r="A207" s="242" t="s">
        <v>297</v>
      </c>
      <c r="B207" s="243"/>
      <c r="C207" s="244"/>
      <c r="D207" s="43"/>
      <c r="E207" s="322" t="str">
        <f>IF(D207="","",IF(D207&lt;2,"Impermeable liner and underdrains required",""))</f>
        <v/>
      </c>
      <c r="F207" s="323"/>
      <c r="G207" s="323"/>
      <c r="H207" s="324"/>
    </row>
    <row r="208" spans="1:8" x14ac:dyDescent="0.25">
      <c r="A208" s="242" t="s">
        <v>710</v>
      </c>
      <c r="B208" s="243"/>
      <c r="C208" s="244"/>
      <c r="D208" s="211"/>
      <c r="E208" s="322" t="str">
        <f>IF(D208="No","Does not meet design criteria","")</f>
        <v/>
      </c>
      <c r="F208" s="323"/>
      <c r="G208" s="323"/>
      <c r="H208" s="324"/>
    </row>
    <row r="209" spans="1:8" x14ac:dyDescent="0.25">
      <c r="A209" s="242" t="s">
        <v>559</v>
      </c>
      <c r="B209" s="243"/>
      <c r="C209" s="244"/>
      <c r="D209" s="43"/>
      <c r="E209" s="322" t="str">
        <f>IF(D209="","",IF(D209&gt;0.5,"Does not meet design criteria",""))</f>
        <v/>
      </c>
      <c r="F209" s="323"/>
      <c r="G209" s="323"/>
      <c r="H209" s="324"/>
    </row>
    <row r="210" spans="1:8" x14ac:dyDescent="0.25">
      <c r="A210" s="242" t="s">
        <v>378</v>
      </c>
      <c r="B210" s="243"/>
      <c r="C210" s="244"/>
      <c r="D210" s="43"/>
      <c r="E210" s="322" t="str">
        <f>IF(D210="","",IF(D210&lt;3,"Does not meet design criteria",""))</f>
        <v/>
      </c>
      <c r="F210" s="323"/>
      <c r="G210" s="323"/>
      <c r="H210" s="324"/>
    </row>
    <row r="211" spans="1:8" x14ac:dyDescent="0.25">
      <c r="A211" s="242" t="s">
        <v>558</v>
      </c>
      <c r="B211" s="243"/>
      <c r="C211" s="244"/>
      <c r="D211" s="43"/>
      <c r="E211" s="322" t="str">
        <f>IF(D211="","",IF(D211&gt;4,"Does not meet design criteria",IF(D211&lt;2.5,"Does not meet design criteria","")))</f>
        <v/>
      </c>
      <c r="F211" s="323"/>
      <c r="G211" s="323"/>
      <c r="H211" s="324"/>
    </row>
    <row r="212" spans="1:8" x14ac:dyDescent="0.25">
      <c r="A212" s="242" t="s">
        <v>402</v>
      </c>
      <c r="B212" s="243"/>
      <c r="C212" s="244"/>
      <c r="D212" s="43"/>
      <c r="E212" s="322" t="str">
        <f>IF(D212="","",IF(D212&lt;10,"Does not meet design criteria",""))</f>
        <v/>
      </c>
      <c r="F212" s="323"/>
      <c r="G212" s="323"/>
      <c r="H212" s="324"/>
    </row>
    <row r="213" spans="1:8" x14ac:dyDescent="0.25">
      <c r="A213" s="242" t="s">
        <v>520</v>
      </c>
      <c r="B213" s="243"/>
      <c r="C213" s="244"/>
      <c r="D213" s="43"/>
      <c r="E213" s="322" t="str">
        <f>IF(D213&gt;15,"Does not meet design criteria","")</f>
        <v/>
      </c>
      <c r="F213" s="323"/>
      <c r="G213" s="323"/>
      <c r="H213" s="324"/>
    </row>
    <row r="214" spans="1:8" x14ac:dyDescent="0.25">
      <c r="A214" s="242" t="s">
        <v>521</v>
      </c>
      <c r="B214" s="243"/>
      <c r="C214" s="244"/>
      <c r="D214" s="43"/>
      <c r="E214" s="322" t="str">
        <f>IF(D214="","",IF(D214&lt;12,"Does not meet design criteria",""))</f>
        <v/>
      </c>
      <c r="F214" s="323"/>
      <c r="G214" s="323"/>
      <c r="H214" s="324"/>
    </row>
    <row r="215" spans="1:8" ht="13" x14ac:dyDescent="0.25">
      <c r="A215" s="236" t="s">
        <v>232</v>
      </c>
      <c r="B215" s="237"/>
      <c r="C215" s="237"/>
      <c r="D215" s="237"/>
      <c r="E215" s="237"/>
      <c r="F215" s="237"/>
      <c r="G215" s="237"/>
      <c r="H215" s="238"/>
    </row>
    <row r="216" spans="1:8" ht="13" x14ac:dyDescent="0.25">
      <c r="A216" s="35"/>
      <c r="B216" s="36"/>
      <c r="C216" s="36"/>
      <c r="D216" s="37"/>
      <c r="E216" s="302" t="s">
        <v>256</v>
      </c>
      <c r="F216" s="302"/>
      <c r="G216" s="38" t="s">
        <v>257</v>
      </c>
      <c r="H216" s="38" t="s">
        <v>258</v>
      </c>
    </row>
    <row r="217" spans="1:8" x14ac:dyDescent="0.25">
      <c r="A217" s="266" t="s">
        <v>306</v>
      </c>
      <c r="B217" s="267"/>
      <c r="C217" s="268"/>
      <c r="D217" s="198" t="s">
        <v>307</v>
      </c>
      <c r="E217" s="289">
        <v>1</v>
      </c>
      <c r="F217" s="289"/>
      <c r="G217" s="193" t="s">
        <v>308</v>
      </c>
      <c r="H217" s="219" t="str">
        <f>IF(E217&gt;1,"Sizing as Filter","")</f>
        <v/>
      </c>
    </row>
    <row r="218" spans="1:8" x14ac:dyDescent="0.25">
      <c r="A218" s="289" t="s">
        <v>388</v>
      </c>
      <c r="B218" s="289"/>
      <c r="C218" s="289"/>
      <c r="D218" s="198" t="s">
        <v>312</v>
      </c>
      <c r="E218" s="289">
        <v>2</v>
      </c>
      <c r="F218" s="289"/>
      <c r="G218" s="193" t="s">
        <v>313</v>
      </c>
      <c r="H218" s="192"/>
    </row>
    <row r="219" spans="1:8" x14ac:dyDescent="0.25">
      <c r="A219" s="266" t="s">
        <v>381</v>
      </c>
      <c r="B219" s="267"/>
      <c r="C219" s="268"/>
      <c r="D219" s="198" t="s">
        <v>315</v>
      </c>
      <c r="E219" s="308" t="e">
        <f>ROUND((F200*D211)/(E217*(D209+D211)*E218),0)</f>
        <v>#VALUE!</v>
      </c>
      <c r="F219" s="308"/>
      <c r="G219" s="193" t="s">
        <v>316</v>
      </c>
      <c r="H219" s="192"/>
    </row>
    <row r="220" spans="1:8" x14ac:dyDescent="0.25">
      <c r="A220" s="266" t="s">
        <v>382</v>
      </c>
      <c r="B220" s="267"/>
      <c r="C220" s="268"/>
      <c r="D220" s="198" t="s">
        <v>315</v>
      </c>
      <c r="E220" s="336"/>
      <c r="F220" s="336"/>
      <c r="G220" s="193" t="s">
        <v>316</v>
      </c>
      <c r="H220" s="219" t="str">
        <f>IF(E220="","",IF(E220&lt;E219,"Does not meet sizing criteria",""))</f>
        <v/>
      </c>
    </row>
    <row r="221" spans="1:8" x14ac:dyDescent="0.25">
      <c r="A221" s="266" t="s">
        <v>383</v>
      </c>
      <c r="B221" s="267"/>
      <c r="C221" s="268"/>
      <c r="D221" s="198" t="s">
        <v>384</v>
      </c>
      <c r="E221" s="266" t="str">
        <f>IF(E220="","",(E220*(E217*(D209+D211)*E218))/D211)</f>
        <v/>
      </c>
      <c r="F221" s="268"/>
      <c r="G221" s="193" t="s">
        <v>2</v>
      </c>
      <c r="H221" s="219" t="str">
        <f>IF(E221="","",IF(E220&gt;E221,"Does not meet sizing criteria",""))</f>
        <v/>
      </c>
    </row>
    <row r="222" spans="1:8" ht="13" x14ac:dyDescent="0.25">
      <c r="A222" s="236" t="s">
        <v>276</v>
      </c>
      <c r="B222" s="237"/>
      <c r="C222" s="237"/>
      <c r="D222" s="237"/>
      <c r="E222" s="237"/>
      <c r="F222" s="237"/>
      <c r="G222" s="237"/>
      <c r="H222" s="238"/>
    </row>
    <row r="223" spans="1:8" ht="13" x14ac:dyDescent="0.25">
      <c r="A223" s="335" t="s">
        <v>241</v>
      </c>
      <c r="B223" s="335"/>
      <c r="C223" s="9" t="str">
        <f>IF(A200="","",IF(D204="Yes",0,IF(D205="Yes",0,IF(D208="No",0,IF(D209&gt;0.5,0,IF(D210&lt;3,0,IF(D211&lt;2.5,0,IF(D211&gt;4,0,IF(D212&lt;10,0,IF(D213&gt;15,0,IF(D214&lt;12,0,IF(E220&lt;E219,0,IF(AND(E220&gt;=E219,E221*0.4&lt;F200),E221*0.4,IF(AND(E220&gt;=E219,E221*0.4&gt;F200),F200))))))))))))))</f>
        <v/>
      </c>
      <c r="D223" s="339" t="s">
        <v>2</v>
      </c>
      <c r="E223" s="340"/>
      <c r="F223" s="340"/>
      <c r="G223" s="340"/>
      <c r="H223" s="341"/>
    </row>
    <row r="224" spans="1:8" x14ac:dyDescent="0.25">
      <c r="A224" s="392" t="s">
        <v>74</v>
      </c>
      <c r="B224" s="392"/>
      <c r="C224" s="157" t="str">
        <f>IF(A200="","",IF(D204="Yes",0,IF(C223=0,0,IF(E220&lt;E219,0,F200-C223))))</f>
        <v/>
      </c>
      <c r="D224" s="223" t="s">
        <v>2</v>
      </c>
      <c r="E224" s="417" t="s">
        <v>590</v>
      </c>
      <c r="F224" s="418"/>
      <c r="G224" s="418"/>
      <c r="H224" s="419"/>
    </row>
    <row r="225" spans="1:8" ht="13" x14ac:dyDescent="0.3">
      <c r="A225" s="24" t="s">
        <v>56</v>
      </c>
      <c r="B225" s="23" t="str">
        <f>IF('STEP 2-WQv Calculation'!$B$4="","",'STEP 2-WQv Calculation'!$B$4)</f>
        <v/>
      </c>
      <c r="C225" s="31"/>
      <c r="D225" s="31"/>
      <c r="E225" s="32"/>
      <c r="F225" s="33"/>
      <c r="G225" s="33"/>
      <c r="H225" s="33"/>
    </row>
    <row r="226" spans="1:8" ht="13" x14ac:dyDescent="0.25">
      <c r="A226" s="331" t="s">
        <v>293</v>
      </c>
      <c r="B226" s="332"/>
      <c r="C226" s="332"/>
      <c r="D226" s="332"/>
      <c r="E226" s="332"/>
      <c r="F226" s="332"/>
      <c r="G226" s="332"/>
      <c r="H226" s="333"/>
    </row>
    <row r="227" spans="1:8" ht="38.5" x14ac:dyDescent="0.25">
      <c r="A227" s="204" t="s">
        <v>60</v>
      </c>
      <c r="B227" s="205" t="s">
        <v>61</v>
      </c>
      <c r="C227" s="205" t="s">
        <v>62</v>
      </c>
      <c r="D227" s="205" t="s">
        <v>63</v>
      </c>
      <c r="E227" s="205" t="s">
        <v>64</v>
      </c>
      <c r="F227" s="205" t="s">
        <v>65</v>
      </c>
      <c r="G227" s="205" t="s">
        <v>244</v>
      </c>
      <c r="H227" s="206" t="s">
        <v>13</v>
      </c>
    </row>
    <row r="228" spans="1:8" x14ac:dyDescent="0.25">
      <c r="A228" s="17"/>
      <c r="B228" s="18" t="str">
        <f>IF($A228="","",(LOOKUP($A228,'STEP 2-WQv Calculation'!$A$8:$A$37,'STEP 2-WQv Calculation'!$B$8:$B$37)))</f>
        <v/>
      </c>
      <c r="C228" s="18" t="str">
        <f>IF($A228="","",(LOOKUP($A228,'STEP 2-WQv Calculation'!$A$8:$A$37,'STEP 2-WQv Calculation'!$C$8:$C$37)))</f>
        <v/>
      </c>
      <c r="D228" s="53" t="str">
        <f>IF($A228="","",(LOOKUP($A228,'STEP 2-WQv Calculation'!$A$8:$A$37,'STEP 2-WQv Calculation'!$D$8:$D$37)))</f>
        <v/>
      </c>
      <c r="E228" s="18" t="str">
        <f>IF($A228="","",(LOOKUP($A228,'STEP 2-WQv Calculation'!$A$8:$A$37,'STEP 2-WQv Calculation'!$E$8:$E$37)))</f>
        <v/>
      </c>
      <c r="F228" s="42" t="str">
        <f>IF($A228="","",(LOOKUP($A228,'STEP 2-WQv Calculation'!$A$8:$A$37,'STEP 2-WQv Calculation'!$F$8:$F$37)))</f>
        <v/>
      </c>
      <c r="G228" s="18">
        <f>'STEP 2-WQv Calculation'!$B$5</f>
        <v>0</v>
      </c>
      <c r="H228" s="29" t="str">
        <f>IF($A228="","",(LOOKUP($A228,'STEP 2-WQv Calculation'!$A$8:$A$37,'STEP 2-WQv Calculation'!$G$8:$G$37)))</f>
        <v/>
      </c>
    </row>
    <row r="229" spans="1:8" ht="13" x14ac:dyDescent="0.25">
      <c r="A229" s="236" t="s">
        <v>226</v>
      </c>
      <c r="B229" s="237"/>
      <c r="C229" s="237"/>
      <c r="D229" s="237"/>
      <c r="E229" s="237"/>
      <c r="F229" s="237"/>
      <c r="G229" s="237"/>
      <c r="H229" s="238"/>
    </row>
    <row r="230" spans="1:8" x14ac:dyDescent="0.25">
      <c r="A230" s="242" t="s">
        <v>295</v>
      </c>
      <c r="B230" s="243"/>
      <c r="C230" s="244"/>
      <c r="D230" s="44"/>
      <c r="E230" s="322" t="str">
        <f>IF(D230="","",IF(D230&lt;0.5,"Underdrains required",""))</f>
        <v/>
      </c>
      <c r="F230" s="323"/>
      <c r="G230" s="323"/>
      <c r="H230" s="324"/>
    </row>
    <row r="231" spans="1:8" x14ac:dyDescent="0.25">
      <c r="A231" s="242" t="s">
        <v>588</v>
      </c>
      <c r="B231" s="243"/>
      <c r="C231" s="244"/>
      <c r="D231" s="211"/>
      <c r="E231" s="322" t="str">
        <f>IF(D231="Yes","Impermeable liner and underdrains required","")</f>
        <v/>
      </c>
      <c r="F231" s="323"/>
      <c r="G231" s="323"/>
      <c r="H231" s="324"/>
    </row>
    <row r="232" spans="1:8" x14ac:dyDescent="0.25">
      <c r="A232" s="242" t="s">
        <v>589</v>
      </c>
      <c r="B232" s="243"/>
      <c r="C232" s="244"/>
      <c r="D232" s="211"/>
      <c r="E232" s="322" t="str">
        <f>IF(D232="","Refer to Section 4.14 Stormwater Hotspots",IF(D232="Yes","Credit for RRv and WQv treated cannot be applied to first practice in series",""))</f>
        <v>Refer to Section 4.14 Stormwater Hotspots</v>
      </c>
      <c r="F232" s="323"/>
      <c r="G232" s="323"/>
      <c r="H232" s="324"/>
    </row>
    <row r="233" spans="1:8" x14ac:dyDescent="0.25">
      <c r="A233" s="242" t="s">
        <v>494</v>
      </c>
      <c r="B233" s="243"/>
      <c r="C233" s="244"/>
      <c r="D233" s="158" t="str">
        <f>IF(B228="","",IF(B228&gt;5,"Yes","No"))</f>
        <v/>
      </c>
      <c r="E233" s="322" t="str">
        <f>IF(D233="Yes","Does not meet design criteria","")</f>
        <v/>
      </c>
      <c r="F233" s="323"/>
      <c r="G233" s="323"/>
      <c r="H233" s="324"/>
    </row>
    <row r="234" spans="1:8" x14ac:dyDescent="0.25">
      <c r="A234" s="242" t="s">
        <v>296</v>
      </c>
      <c r="B234" s="243"/>
      <c r="C234" s="244"/>
      <c r="D234" s="43"/>
      <c r="E234" s="322" t="str">
        <f>IF(D234="","",IF(D234&lt;2,"Impermeable liner and underdrains required",""))</f>
        <v/>
      </c>
      <c r="F234" s="323"/>
      <c r="G234" s="323"/>
      <c r="H234" s="324"/>
    </row>
    <row r="235" spans="1:8" x14ac:dyDescent="0.25">
      <c r="A235" s="242" t="s">
        <v>297</v>
      </c>
      <c r="B235" s="243"/>
      <c r="C235" s="244"/>
      <c r="D235" s="43"/>
      <c r="E235" s="322" t="str">
        <f>IF(D235="","",IF(D235&lt;2,"Impermeable liner and underdrains required",""))</f>
        <v/>
      </c>
      <c r="F235" s="323"/>
      <c r="G235" s="323"/>
      <c r="H235" s="324"/>
    </row>
    <row r="236" spans="1:8" x14ac:dyDescent="0.25">
      <c r="A236" s="242" t="s">
        <v>710</v>
      </c>
      <c r="B236" s="243"/>
      <c r="C236" s="244"/>
      <c r="D236" s="211"/>
      <c r="E236" s="322" t="str">
        <f>IF(D236="No","Does not meet design criteria","")</f>
        <v/>
      </c>
      <c r="F236" s="323"/>
      <c r="G236" s="323"/>
      <c r="H236" s="324"/>
    </row>
    <row r="237" spans="1:8" x14ac:dyDescent="0.25">
      <c r="A237" s="242" t="s">
        <v>559</v>
      </c>
      <c r="B237" s="243"/>
      <c r="C237" s="244"/>
      <c r="D237" s="43"/>
      <c r="E237" s="322" t="str">
        <f>IF(D237="","",IF(D237&gt;0.5,"Does not meet design criteria",""))</f>
        <v/>
      </c>
      <c r="F237" s="323"/>
      <c r="G237" s="323"/>
      <c r="H237" s="324"/>
    </row>
    <row r="238" spans="1:8" x14ac:dyDescent="0.25">
      <c r="A238" s="242" t="s">
        <v>378</v>
      </c>
      <c r="B238" s="243"/>
      <c r="C238" s="244"/>
      <c r="D238" s="43"/>
      <c r="E238" s="322" t="str">
        <f>IF(D238="","",IF(D238&lt;3,"Does not meet design criteria",""))</f>
        <v/>
      </c>
      <c r="F238" s="323"/>
      <c r="G238" s="323"/>
      <c r="H238" s="324"/>
    </row>
    <row r="239" spans="1:8" x14ac:dyDescent="0.25">
      <c r="A239" s="242" t="s">
        <v>558</v>
      </c>
      <c r="B239" s="243"/>
      <c r="C239" s="244"/>
      <c r="D239" s="43"/>
      <c r="E239" s="322" t="str">
        <f>IF(D239="","",IF(D239&gt;4,"Does not meet design criteria",IF(D239&lt;2.5,"Does not meet design criteria","")))</f>
        <v/>
      </c>
      <c r="F239" s="323"/>
      <c r="G239" s="323"/>
      <c r="H239" s="324"/>
    </row>
    <row r="240" spans="1:8" x14ac:dyDescent="0.25">
      <c r="A240" s="242" t="s">
        <v>402</v>
      </c>
      <c r="B240" s="243"/>
      <c r="C240" s="244"/>
      <c r="D240" s="43"/>
      <c r="E240" s="322" t="str">
        <f>IF(D240="","",IF(D240&lt;10,"Does not meet design criteria",""))</f>
        <v/>
      </c>
      <c r="F240" s="323"/>
      <c r="G240" s="323"/>
      <c r="H240" s="324"/>
    </row>
    <row r="241" spans="1:8" x14ac:dyDescent="0.25">
      <c r="A241" s="242" t="s">
        <v>520</v>
      </c>
      <c r="B241" s="243"/>
      <c r="C241" s="244"/>
      <c r="D241" s="43"/>
      <c r="E241" s="322" t="str">
        <f>IF(D241&gt;15,"Does not meet design criteria","")</f>
        <v/>
      </c>
      <c r="F241" s="323"/>
      <c r="G241" s="323"/>
      <c r="H241" s="324"/>
    </row>
    <row r="242" spans="1:8" x14ac:dyDescent="0.25">
      <c r="A242" s="242" t="s">
        <v>521</v>
      </c>
      <c r="B242" s="243"/>
      <c r="C242" s="244"/>
      <c r="D242" s="43"/>
      <c r="E242" s="322" t="str">
        <f>IF(D242="","",IF(D242&lt;12,"Does not meet design criteria",""))</f>
        <v/>
      </c>
      <c r="F242" s="323"/>
      <c r="G242" s="323"/>
      <c r="H242" s="324"/>
    </row>
    <row r="243" spans="1:8" ht="13" x14ac:dyDescent="0.25">
      <c r="A243" s="236" t="s">
        <v>232</v>
      </c>
      <c r="B243" s="237"/>
      <c r="C243" s="237"/>
      <c r="D243" s="237"/>
      <c r="E243" s="237"/>
      <c r="F243" s="237"/>
      <c r="G243" s="237"/>
      <c r="H243" s="238"/>
    </row>
    <row r="244" spans="1:8" ht="13" x14ac:dyDescent="0.25">
      <c r="A244" s="35"/>
      <c r="B244" s="36"/>
      <c r="C244" s="36"/>
      <c r="D244" s="37"/>
      <c r="E244" s="302" t="s">
        <v>256</v>
      </c>
      <c r="F244" s="302"/>
      <c r="G244" s="38" t="s">
        <v>257</v>
      </c>
      <c r="H244" s="38" t="s">
        <v>258</v>
      </c>
    </row>
    <row r="245" spans="1:8" x14ac:dyDescent="0.25">
      <c r="A245" s="266" t="s">
        <v>306</v>
      </c>
      <c r="B245" s="267"/>
      <c r="C245" s="268"/>
      <c r="D245" s="198" t="s">
        <v>307</v>
      </c>
      <c r="E245" s="289">
        <v>1</v>
      </c>
      <c r="F245" s="289"/>
      <c r="G245" s="193" t="s">
        <v>308</v>
      </c>
      <c r="H245" s="219" t="str">
        <f>IF(E245&gt;1,"Sizing as Filter","")</f>
        <v/>
      </c>
    </row>
    <row r="246" spans="1:8" x14ac:dyDescent="0.25">
      <c r="A246" s="289" t="s">
        <v>388</v>
      </c>
      <c r="B246" s="289"/>
      <c r="C246" s="289"/>
      <c r="D246" s="198" t="s">
        <v>312</v>
      </c>
      <c r="E246" s="289">
        <v>2</v>
      </c>
      <c r="F246" s="289"/>
      <c r="G246" s="193" t="s">
        <v>313</v>
      </c>
      <c r="H246" s="192"/>
    </row>
    <row r="247" spans="1:8" x14ac:dyDescent="0.25">
      <c r="A247" s="266" t="s">
        <v>381</v>
      </c>
      <c r="B247" s="267"/>
      <c r="C247" s="268"/>
      <c r="D247" s="198" t="s">
        <v>315</v>
      </c>
      <c r="E247" s="308" t="e">
        <f>ROUND((F228*D239)/(E245*(D237+D239)*E246),0)</f>
        <v>#VALUE!</v>
      </c>
      <c r="F247" s="308"/>
      <c r="G247" s="193" t="s">
        <v>316</v>
      </c>
      <c r="H247" s="192"/>
    </row>
    <row r="248" spans="1:8" x14ac:dyDescent="0.25">
      <c r="A248" s="266" t="s">
        <v>382</v>
      </c>
      <c r="B248" s="267"/>
      <c r="C248" s="268"/>
      <c r="D248" s="198" t="s">
        <v>315</v>
      </c>
      <c r="E248" s="336"/>
      <c r="F248" s="336"/>
      <c r="G248" s="193" t="s">
        <v>316</v>
      </c>
      <c r="H248" s="219" t="str">
        <f>IF(E248="","",IF(E248&lt;E247,"Does not meet sizing criteria",""))</f>
        <v/>
      </c>
    </row>
    <row r="249" spans="1:8" x14ac:dyDescent="0.25">
      <c r="A249" s="266" t="s">
        <v>383</v>
      </c>
      <c r="B249" s="267"/>
      <c r="C249" s="268"/>
      <c r="D249" s="198" t="s">
        <v>384</v>
      </c>
      <c r="E249" s="266" t="str">
        <f>IF(E248="","",(E248*(E245*(D237+D239)*E246))/D239)</f>
        <v/>
      </c>
      <c r="F249" s="268"/>
      <c r="G249" s="193" t="s">
        <v>2</v>
      </c>
      <c r="H249" s="219" t="str">
        <f>IF(E249="","",IF(E248&gt;E249,"Does not meet sizing criteria",""))</f>
        <v/>
      </c>
    </row>
    <row r="250" spans="1:8" ht="13" x14ac:dyDescent="0.25">
      <c r="A250" s="236" t="s">
        <v>276</v>
      </c>
      <c r="B250" s="237"/>
      <c r="C250" s="237"/>
      <c r="D250" s="237"/>
      <c r="E250" s="237"/>
      <c r="F250" s="237"/>
      <c r="G250" s="237"/>
      <c r="H250" s="238"/>
    </row>
    <row r="251" spans="1:8" ht="13" x14ac:dyDescent="0.25">
      <c r="A251" s="335" t="s">
        <v>241</v>
      </c>
      <c r="B251" s="335"/>
      <c r="C251" s="9" t="str">
        <f>IF(A228="","",IF(D232="Yes",0,IF(D233="Yes",0,IF(D236="No",0,IF(D237&gt;0.5,0,IF(D238&lt;3,0,IF(D239&lt;2.5,0,IF(D239&gt;4,0,IF(D240&lt;10,0,IF(D241&gt;15,0,IF(D242&lt;12,0,IF(E248&lt;E247,0,IF(AND(E248&gt;=E247,E249*0.4&lt;F228),E249*0.4,IF(AND(E248&gt;=E247,E249*0.4&gt;F228),F228))))))))))))))</f>
        <v/>
      </c>
      <c r="D251" s="339" t="s">
        <v>2</v>
      </c>
      <c r="E251" s="340"/>
      <c r="F251" s="340"/>
      <c r="G251" s="340"/>
      <c r="H251" s="341"/>
    </row>
    <row r="252" spans="1:8" x14ac:dyDescent="0.25">
      <c r="A252" s="392" t="s">
        <v>74</v>
      </c>
      <c r="B252" s="392"/>
      <c r="C252" s="157" t="str">
        <f>IF(A228="","",IF(D232="Yes",0,IF(C251=0,0,IF(E248&lt;E247,0,F228-C251))))</f>
        <v/>
      </c>
      <c r="D252" s="223" t="s">
        <v>2</v>
      </c>
      <c r="E252" s="417" t="s">
        <v>590</v>
      </c>
      <c r="F252" s="418"/>
      <c r="G252" s="418"/>
      <c r="H252" s="419"/>
    </row>
    <row r="253" spans="1:8" ht="13" x14ac:dyDescent="0.3">
      <c r="A253" s="24" t="s">
        <v>56</v>
      </c>
      <c r="B253" s="23" t="str">
        <f>IF('STEP 2-WQv Calculation'!$B$4="","",'STEP 2-WQv Calculation'!$B$4)</f>
        <v/>
      </c>
      <c r="C253" s="31"/>
      <c r="D253" s="31"/>
      <c r="E253" s="32"/>
      <c r="F253" s="33"/>
      <c r="G253" s="33"/>
      <c r="H253" s="33"/>
    </row>
    <row r="254" spans="1:8" ht="13" x14ac:dyDescent="0.25">
      <c r="A254" s="331" t="s">
        <v>293</v>
      </c>
      <c r="B254" s="332"/>
      <c r="C254" s="332"/>
      <c r="D254" s="332"/>
      <c r="E254" s="332"/>
      <c r="F254" s="332"/>
      <c r="G254" s="332"/>
      <c r="H254" s="333"/>
    </row>
    <row r="255" spans="1:8" ht="38.5" x14ac:dyDescent="0.25">
      <c r="A255" s="204" t="s">
        <v>60</v>
      </c>
      <c r="B255" s="205" t="s">
        <v>61</v>
      </c>
      <c r="C255" s="205" t="s">
        <v>62</v>
      </c>
      <c r="D255" s="205" t="s">
        <v>63</v>
      </c>
      <c r="E255" s="205" t="s">
        <v>64</v>
      </c>
      <c r="F255" s="205" t="s">
        <v>65</v>
      </c>
      <c r="G255" s="205" t="s">
        <v>244</v>
      </c>
      <c r="H255" s="206" t="s">
        <v>13</v>
      </c>
    </row>
    <row r="256" spans="1:8" x14ac:dyDescent="0.25">
      <c r="A256" s="17"/>
      <c r="B256" s="18" t="str">
        <f>IF($A256="","",(LOOKUP($A256,'STEP 2-WQv Calculation'!$A$8:$A$37,'STEP 2-WQv Calculation'!$B$8:$B$37)))</f>
        <v/>
      </c>
      <c r="C256" s="18" t="str">
        <f>IF($A256="","",(LOOKUP($A256,'STEP 2-WQv Calculation'!$A$8:$A$37,'STEP 2-WQv Calculation'!$C$8:$C$37)))</f>
        <v/>
      </c>
      <c r="D256" s="53" t="str">
        <f>IF($A256="","",(LOOKUP($A256,'STEP 2-WQv Calculation'!$A$8:$A$37,'STEP 2-WQv Calculation'!$D$8:$D$37)))</f>
        <v/>
      </c>
      <c r="E256" s="18" t="str">
        <f>IF($A256="","",(LOOKUP($A256,'STEP 2-WQv Calculation'!$A$8:$A$37,'STEP 2-WQv Calculation'!$E$8:$E$37)))</f>
        <v/>
      </c>
      <c r="F256" s="42" t="str">
        <f>IF($A256="","",(LOOKUP($A256,'STEP 2-WQv Calculation'!$A$8:$A$37,'STEP 2-WQv Calculation'!$F$8:$F$37)))</f>
        <v/>
      </c>
      <c r="G256" s="18">
        <f>'STEP 2-WQv Calculation'!$B$5</f>
        <v>0</v>
      </c>
      <c r="H256" s="29" t="str">
        <f>IF($A256="","",(LOOKUP($A256,'STEP 2-WQv Calculation'!$A$8:$A$37,'STEP 2-WQv Calculation'!$G$8:$G$37)))</f>
        <v/>
      </c>
    </row>
    <row r="257" spans="1:8" ht="13" x14ac:dyDescent="0.25">
      <c r="A257" s="236" t="s">
        <v>226</v>
      </c>
      <c r="B257" s="237"/>
      <c r="C257" s="237"/>
      <c r="D257" s="237"/>
      <c r="E257" s="237"/>
      <c r="F257" s="237"/>
      <c r="G257" s="237"/>
      <c r="H257" s="238"/>
    </row>
    <row r="258" spans="1:8" x14ac:dyDescent="0.25">
      <c r="A258" s="242" t="s">
        <v>295</v>
      </c>
      <c r="B258" s="243"/>
      <c r="C258" s="244"/>
      <c r="D258" s="44"/>
      <c r="E258" s="322" t="str">
        <f>IF(D258="","",IF(D258&lt;0.5,"Underdrains required",""))</f>
        <v/>
      </c>
      <c r="F258" s="323"/>
      <c r="G258" s="323"/>
      <c r="H258" s="324"/>
    </row>
    <row r="259" spans="1:8" x14ac:dyDescent="0.25">
      <c r="A259" s="242" t="s">
        <v>588</v>
      </c>
      <c r="B259" s="243"/>
      <c r="C259" s="244"/>
      <c r="D259" s="211"/>
      <c r="E259" s="322" t="str">
        <f>IF(D259="Yes","Impermeable liner and underdrains required","")</f>
        <v/>
      </c>
      <c r="F259" s="323"/>
      <c r="G259" s="323"/>
      <c r="H259" s="324"/>
    </row>
    <row r="260" spans="1:8" x14ac:dyDescent="0.25">
      <c r="A260" s="242" t="s">
        <v>589</v>
      </c>
      <c r="B260" s="243"/>
      <c r="C260" s="244"/>
      <c r="D260" s="211"/>
      <c r="E260" s="322" t="str">
        <f>IF(D260="","Refer to Section 4.14 Stormwater Hotspots",IF(D260="Yes","Credit for RRv and WQv treated cannot be applied to first practice in series",""))</f>
        <v>Refer to Section 4.14 Stormwater Hotspots</v>
      </c>
      <c r="F260" s="323"/>
      <c r="G260" s="323"/>
      <c r="H260" s="324"/>
    </row>
    <row r="261" spans="1:8" x14ac:dyDescent="0.25">
      <c r="A261" s="242" t="s">
        <v>494</v>
      </c>
      <c r="B261" s="243"/>
      <c r="C261" s="244"/>
      <c r="D261" s="158" t="str">
        <f>IF(B256="","",IF(B256&gt;5,"Yes","No"))</f>
        <v/>
      </c>
      <c r="E261" s="322" t="str">
        <f>IF(D261="Yes","Does not meet design criteria","")</f>
        <v/>
      </c>
      <c r="F261" s="323"/>
      <c r="G261" s="323"/>
      <c r="H261" s="324"/>
    </row>
    <row r="262" spans="1:8" x14ac:dyDescent="0.25">
      <c r="A262" s="242" t="s">
        <v>296</v>
      </c>
      <c r="B262" s="243"/>
      <c r="C262" s="244"/>
      <c r="D262" s="43"/>
      <c r="E262" s="322" t="str">
        <f>IF(D262="","",IF(D262&lt;2,"Impermeable liner and underdrains required",""))</f>
        <v/>
      </c>
      <c r="F262" s="323"/>
      <c r="G262" s="323"/>
      <c r="H262" s="324"/>
    </row>
    <row r="263" spans="1:8" x14ac:dyDescent="0.25">
      <c r="A263" s="242" t="s">
        <v>297</v>
      </c>
      <c r="B263" s="243"/>
      <c r="C263" s="244"/>
      <c r="D263" s="43"/>
      <c r="E263" s="322" t="str">
        <f>IF(D263="","",IF(D263&lt;2,"Impermeable liner and underdrains required",""))</f>
        <v/>
      </c>
      <c r="F263" s="323"/>
      <c r="G263" s="323"/>
      <c r="H263" s="324"/>
    </row>
    <row r="264" spans="1:8" x14ac:dyDescent="0.25">
      <c r="A264" s="242" t="s">
        <v>710</v>
      </c>
      <c r="B264" s="243"/>
      <c r="C264" s="244"/>
      <c r="D264" s="211"/>
      <c r="E264" s="322" t="str">
        <f>IF(D264="No","Does not meet design criteria","")</f>
        <v/>
      </c>
      <c r="F264" s="323"/>
      <c r="G264" s="323"/>
      <c r="H264" s="324"/>
    </row>
    <row r="265" spans="1:8" x14ac:dyDescent="0.25">
      <c r="A265" s="242" t="s">
        <v>559</v>
      </c>
      <c r="B265" s="243"/>
      <c r="C265" s="244"/>
      <c r="D265" s="43"/>
      <c r="E265" s="322" t="str">
        <f>IF(D265="","",IF(D265&gt;0.5,"Does not meet design criteria",""))</f>
        <v/>
      </c>
      <c r="F265" s="323"/>
      <c r="G265" s="323"/>
      <c r="H265" s="324"/>
    </row>
    <row r="266" spans="1:8" x14ac:dyDescent="0.25">
      <c r="A266" s="242" t="s">
        <v>378</v>
      </c>
      <c r="B266" s="243"/>
      <c r="C266" s="244"/>
      <c r="D266" s="43"/>
      <c r="E266" s="322" t="str">
        <f>IF(D266="","",IF(D266&lt;3,"Does not meet design criteria",""))</f>
        <v/>
      </c>
      <c r="F266" s="323"/>
      <c r="G266" s="323"/>
      <c r="H266" s="324"/>
    </row>
    <row r="267" spans="1:8" x14ac:dyDescent="0.25">
      <c r="A267" s="242" t="s">
        <v>558</v>
      </c>
      <c r="B267" s="243"/>
      <c r="C267" s="244"/>
      <c r="D267" s="43"/>
      <c r="E267" s="322" t="str">
        <f>IF(D267="","",IF(D267&gt;4,"Does not meet design criteria",IF(D267&lt;2.5,"Does not meet design criteria","")))</f>
        <v/>
      </c>
      <c r="F267" s="323"/>
      <c r="G267" s="323"/>
      <c r="H267" s="324"/>
    </row>
    <row r="268" spans="1:8" x14ac:dyDescent="0.25">
      <c r="A268" s="242" t="s">
        <v>402</v>
      </c>
      <c r="B268" s="243"/>
      <c r="C268" s="244"/>
      <c r="D268" s="43"/>
      <c r="E268" s="322" t="str">
        <f>IF(D268="","",IF(D268&lt;10,"Does not meet design criteria",""))</f>
        <v/>
      </c>
      <c r="F268" s="323"/>
      <c r="G268" s="323"/>
      <c r="H268" s="324"/>
    </row>
    <row r="269" spans="1:8" x14ac:dyDescent="0.25">
      <c r="A269" s="242" t="s">
        <v>520</v>
      </c>
      <c r="B269" s="243"/>
      <c r="C269" s="244"/>
      <c r="D269" s="43"/>
      <c r="E269" s="322" t="str">
        <f>IF(D269&gt;15,"Does not meet design criteria","")</f>
        <v/>
      </c>
      <c r="F269" s="323"/>
      <c r="G269" s="323"/>
      <c r="H269" s="324"/>
    </row>
    <row r="270" spans="1:8" x14ac:dyDescent="0.25">
      <c r="A270" s="242" t="s">
        <v>521</v>
      </c>
      <c r="B270" s="243"/>
      <c r="C270" s="244"/>
      <c r="D270" s="43"/>
      <c r="E270" s="322" t="str">
        <f>IF(D270="","",IF(D270&lt;12,"Does not meet design criteria",""))</f>
        <v/>
      </c>
      <c r="F270" s="323"/>
      <c r="G270" s="323"/>
      <c r="H270" s="324"/>
    </row>
    <row r="271" spans="1:8" ht="13" x14ac:dyDescent="0.25">
      <c r="A271" s="236" t="s">
        <v>232</v>
      </c>
      <c r="B271" s="237"/>
      <c r="C271" s="237"/>
      <c r="D271" s="237"/>
      <c r="E271" s="237"/>
      <c r="F271" s="237"/>
      <c r="G271" s="237"/>
      <c r="H271" s="238"/>
    </row>
    <row r="272" spans="1:8" ht="13" x14ac:dyDescent="0.25">
      <c r="A272" s="35"/>
      <c r="B272" s="36"/>
      <c r="C272" s="36"/>
      <c r="D272" s="37"/>
      <c r="E272" s="302" t="s">
        <v>256</v>
      </c>
      <c r="F272" s="302"/>
      <c r="G272" s="38" t="s">
        <v>257</v>
      </c>
      <c r="H272" s="38" t="s">
        <v>258</v>
      </c>
    </row>
    <row r="273" spans="1:8" x14ac:dyDescent="0.25">
      <c r="A273" s="266" t="s">
        <v>306</v>
      </c>
      <c r="B273" s="267"/>
      <c r="C273" s="268"/>
      <c r="D273" s="198" t="s">
        <v>307</v>
      </c>
      <c r="E273" s="289">
        <v>1</v>
      </c>
      <c r="F273" s="289"/>
      <c r="G273" s="193" t="s">
        <v>308</v>
      </c>
      <c r="H273" s="219" t="str">
        <f>IF(E273&gt;1,"Sizing as Filter","")</f>
        <v/>
      </c>
    </row>
    <row r="274" spans="1:8" x14ac:dyDescent="0.25">
      <c r="A274" s="289" t="s">
        <v>388</v>
      </c>
      <c r="B274" s="289"/>
      <c r="C274" s="289"/>
      <c r="D274" s="198" t="s">
        <v>312</v>
      </c>
      <c r="E274" s="289">
        <v>2</v>
      </c>
      <c r="F274" s="289"/>
      <c r="G274" s="193" t="s">
        <v>313</v>
      </c>
      <c r="H274" s="192"/>
    </row>
    <row r="275" spans="1:8" x14ac:dyDescent="0.25">
      <c r="A275" s="266" t="s">
        <v>381</v>
      </c>
      <c r="B275" s="267"/>
      <c r="C275" s="268"/>
      <c r="D275" s="198" t="s">
        <v>315</v>
      </c>
      <c r="E275" s="308" t="e">
        <f>ROUND((F256*D267)/(E273*(D265+D267)*E274),0)</f>
        <v>#VALUE!</v>
      </c>
      <c r="F275" s="308"/>
      <c r="G275" s="193" t="s">
        <v>316</v>
      </c>
      <c r="H275" s="192"/>
    </row>
    <row r="276" spans="1:8" x14ac:dyDescent="0.25">
      <c r="A276" s="266" t="s">
        <v>382</v>
      </c>
      <c r="B276" s="267"/>
      <c r="C276" s="268"/>
      <c r="D276" s="198" t="s">
        <v>315</v>
      </c>
      <c r="E276" s="336"/>
      <c r="F276" s="336"/>
      <c r="G276" s="193" t="s">
        <v>316</v>
      </c>
      <c r="H276" s="219" t="str">
        <f>IF(E276="","",IF(E276&lt;E275,"Does not meet sizing criteria",""))</f>
        <v/>
      </c>
    </row>
    <row r="277" spans="1:8" x14ac:dyDescent="0.25">
      <c r="A277" s="266" t="s">
        <v>383</v>
      </c>
      <c r="B277" s="267"/>
      <c r="C277" s="268"/>
      <c r="D277" s="198" t="s">
        <v>384</v>
      </c>
      <c r="E277" s="266" t="str">
        <f>IF(E276="","",(E276*(E273*(D265+D267)*E274))/D267)</f>
        <v/>
      </c>
      <c r="F277" s="268"/>
      <c r="G277" s="193" t="s">
        <v>2</v>
      </c>
      <c r="H277" s="219" t="str">
        <f>IF(E277="","",IF(E276&gt;E277,"Does not meet sizing criteria",""))</f>
        <v/>
      </c>
    </row>
    <row r="278" spans="1:8" ht="13" x14ac:dyDescent="0.25">
      <c r="A278" s="236" t="s">
        <v>276</v>
      </c>
      <c r="B278" s="237"/>
      <c r="C278" s="237"/>
      <c r="D278" s="237"/>
      <c r="E278" s="237"/>
      <c r="F278" s="237"/>
      <c r="G278" s="237"/>
      <c r="H278" s="238"/>
    </row>
    <row r="279" spans="1:8" ht="13" x14ac:dyDescent="0.25">
      <c r="A279" s="335" t="s">
        <v>241</v>
      </c>
      <c r="B279" s="335"/>
      <c r="C279" s="9" t="str">
        <f>IF(A256="","",IF(D260="Yes",0,IF(D261="Yes",0,IF(D264="No",0,IF(D265&gt;0.5,0,IF(D266&lt;3,0,IF(D267&lt;2.5,0,IF(D267&gt;4,0,IF(D268&lt;10,0,IF(D269&gt;15,0,IF(D270&lt;12,0,IF(E276&lt;E275,0,IF(AND(E276&gt;=E275,E277*0.4&lt;F256),E277*0.4,IF(AND(E276&gt;=E275,E277*0.4&gt;F256),F256))))))))))))))</f>
        <v/>
      </c>
      <c r="D279" s="339" t="s">
        <v>2</v>
      </c>
      <c r="E279" s="340"/>
      <c r="F279" s="340"/>
      <c r="G279" s="340"/>
      <c r="H279" s="341"/>
    </row>
    <row r="280" spans="1:8" x14ac:dyDescent="0.25">
      <c r="A280" s="392" t="s">
        <v>74</v>
      </c>
      <c r="B280" s="392"/>
      <c r="C280" s="157" t="str">
        <f>IF(A256="","",IF(D260="Yes",0,IF(C279=0,0,IF(E276&lt;E275,0,F256-C279))))</f>
        <v/>
      </c>
      <c r="D280" s="223" t="s">
        <v>2</v>
      </c>
      <c r="E280" s="417" t="s">
        <v>590</v>
      </c>
      <c r="F280" s="418"/>
      <c r="G280" s="418"/>
      <c r="H280" s="419"/>
    </row>
  </sheetData>
  <sheetProtection algorithmName="SHA-512" hashValue="OIs0pLRjJjt5mfU4cmtdYJud+NhEyg4EvVVIcCB/Xv43Cc1jxvecaDw+UnbPXoEirO0pJTiLrf/dqyxzX9/YeQ==" saltValue="2k7xZj34xkU+ck0pFPVXvg==" spinCount="100000" sheet="1" formatColumns="0" formatRows="0"/>
  <mergeCells count="454">
    <mergeCell ref="A279:B279"/>
    <mergeCell ref="D279:H279"/>
    <mergeCell ref="A280:B280"/>
    <mergeCell ref="E280:H280"/>
    <mergeCell ref="A274:C274"/>
    <mergeCell ref="E274:F274"/>
    <mergeCell ref="A275:C275"/>
    <mergeCell ref="E275:F275"/>
    <mergeCell ref="A276:C276"/>
    <mergeCell ref="E276:F276"/>
    <mergeCell ref="A277:C277"/>
    <mergeCell ref="E277:F277"/>
    <mergeCell ref="A278:H278"/>
    <mergeCell ref="A268:C268"/>
    <mergeCell ref="E268:H268"/>
    <mergeCell ref="A269:C269"/>
    <mergeCell ref="E269:H269"/>
    <mergeCell ref="A270:C270"/>
    <mergeCell ref="E270:H270"/>
    <mergeCell ref="A271:H271"/>
    <mergeCell ref="E272:F272"/>
    <mergeCell ref="A273:C273"/>
    <mergeCell ref="E273:F273"/>
    <mergeCell ref="A263:C263"/>
    <mergeCell ref="E263:H263"/>
    <mergeCell ref="A264:C264"/>
    <mergeCell ref="E264:H264"/>
    <mergeCell ref="A265:C265"/>
    <mergeCell ref="E265:H265"/>
    <mergeCell ref="A266:C266"/>
    <mergeCell ref="E266:H266"/>
    <mergeCell ref="A267:C267"/>
    <mergeCell ref="E267:H267"/>
    <mergeCell ref="A258:C258"/>
    <mergeCell ref="E258:H258"/>
    <mergeCell ref="A259:C259"/>
    <mergeCell ref="E259:H259"/>
    <mergeCell ref="A260:C260"/>
    <mergeCell ref="E260:H260"/>
    <mergeCell ref="A261:C261"/>
    <mergeCell ref="E261:H261"/>
    <mergeCell ref="A262:C262"/>
    <mergeCell ref="E262:H262"/>
    <mergeCell ref="A249:C249"/>
    <mergeCell ref="E249:F249"/>
    <mergeCell ref="A250:H250"/>
    <mergeCell ref="A251:B251"/>
    <mergeCell ref="D251:H251"/>
    <mergeCell ref="A252:B252"/>
    <mergeCell ref="E252:H252"/>
    <mergeCell ref="A254:H254"/>
    <mergeCell ref="A257:H257"/>
    <mergeCell ref="E244:F244"/>
    <mergeCell ref="A245:C245"/>
    <mergeCell ref="E245:F245"/>
    <mergeCell ref="A246:C246"/>
    <mergeCell ref="E246:F246"/>
    <mergeCell ref="A247:C247"/>
    <mergeCell ref="E247:F247"/>
    <mergeCell ref="A248:C248"/>
    <mergeCell ref="E248:F248"/>
    <mergeCell ref="A239:C239"/>
    <mergeCell ref="E239:H239"/>
    <mergeCell ref="A240:C240"/>
    <mergeCell ref="E240:H240"/>
    <mergeCell ref="A241:C241"/>
    <mergeCell ref="E241:H241"/>
    <mergeCell ref="A242:C242"/>
    <mergeCell ref="E242:H242"/>
    <mergeCell ref="A243:H243"/>
    <mergeCell ref="A234:C234"/>
    <mergeCell ref="E234:H234"/>
    <mergeCell ref="A235:C235"/>
    <mergeCell ref="E235:H235"/>
    <mergeCell ref="A236:C236"/>
    <mergeCell ref="E236:H236"/>
    <mergeCell ref="A237:C237"/>
    <mergeCell ref="E237:H237"/>
    <mergeCell ref="A238:C238"/>
    <mergeCell ref="E238:H238"/>
    <mergeCell ref="A226:H226"/>
    <mergeCell ref="A229:H229"/>
    <mergeCell ref="A230:C230"/>
    <mergeCell ref="E230:H230"/>
    <mergeCell ref="A231:C231"/>
    <mergeCell ref="E231:H231"/>
    <mergeCell ref="A232:C232"/>
    <mergeCell ref="E232:H232"/>
    <mergeCell ref="A233:C233"/>
    <mergeCell ref="E233:H233"/>
    <mergeCell ref="A220:C220"/>
    <mergeCell ref="E220:F220"/>
    <mergeCell ref="A221:C221"/>
    <mergeCell ref="E221:F221"/>
    <mergeCell ref="A222:H222"/>
    <mergeCell ref="A223:B223"/>
    <mergeCell ref="D223:H223"/>
    <mergeCell ref="A224:B224"/>
    <mergeCell ref="E224:H224"/>
    <mergeCell ref="A214:C214"/>
    <mergeCell ref="E214:H214"/>
    <mergeCell ref="A215:H215"/>
    <mergeCell ref="E216:F216"/>
    <mergeCell ref="A217:C217"/>
    <mergeCell ref="E217:F217"/>
    <mergeCell ref="A218:C218"/>
    <mergeCell ref="E218:F218"/>
    <mergeCell ref="A219:C219"/>
    <mergeCell ref="E219:F219"/>
    <mergeCell ref="A209:C209"/>
    <mergeCell ref="E209:H209"/>
    <mergeCell ref="A210:C210"/>
    <mergeCell ref="E210:H210"/>
    <mergeCell ref="A211:C211"/>
    <mergeCell ref="E211:H211"/>
    <mergeCell ref="A212:C212"/>
    <mergeCell ref="E212:H212"/>
    <mergeCell ref="A213:C213"/>
    <mergeCell ref="E213:H213"/>
    <mergeCell ref="A204:C204"/>
    <mergeCell ref="E204:H204"/>
    <mergeCell ref="A205:C205"/>
    <mergeCell ref="E205:H205"/>
    <mergeCell ref="A206:C206"/>
    <mergeCell ref="E206:H206"/>
    <mergeCell ref="A207:C207"/>
    <mergeCell ref="E207:H207"/>
    <mergeCell ref="A208:C208"/>
    <mergeCell ref="E208:H208"/>
    <mergeCell ref="A195:B195"/>
    <mergeCell ref="D195:H195"/>
    <mergeCell ref="A196:B196"/>
    <mergeCell ref="E196:H196"/>
    <mergeCell ref="A198:H198"/>
    <mergeCell ref="A201:H201"/>
    <mergeCell ref="A202:C202"/>
    <mergeCell ref="E202:H202"/>
    <mergeCell ref="A203:C203"/>
    <mergeCell ref="E203:H203"/>
    <mergeCell ref="A190:C190"/>
    <mergeCell ref="E190:F190"/>
    <mergeCell ref="A191:C191"/>
    <mergeCell ref="E191:F191"/>
    <mergeCell ref="A192:C192"/>
    <mergeCell ref="E192:F192"/>
    <mergeCell ref="A193:C193"/>
    <mergeCell ref="E193:F193"/>
    <mergeCell ref="A194:H194"/>
    <mergeCell ref="A184:C184"/>
    <mergeCell ref="E184:H184"/>
    <mergeCell ref="A185:C185"/>
    <mergeCell ref="E185:H185"/>
    <mergeCell ref="A186:C186"/>
    <mergeCell ref="E186:H186"/>
    <mergeCell ref="A187:H187"/>
    <mergeCell ref="E188:F188"/>
    <mergeCell ref="A189:C189"/>
    <mergeCell ref="E189:F189"/>
    <mergeCell ref="A179:C179"/>
    <mergeCell ref="E179:H179"/>
    <mergeCell ref="A180:C180"/>
    <mergeCell ref="E180:H180"/>
    <mergeCell ref="A181:C181"/>
    <mergeCell ref="E181:H181"/>
    <mergeCell ref="A182:C182"/>
    <mergeCell ref="E182:H182"/>
    <mergeCell ref="A183:C183"/>
    <mergeCell ref="E183:H183"/>
    <mergeCell ref="A174:C174"/>
    <mergeCell ref="E174:H174"/>
    <mergeCell ref="A175:C175"/>
    <mergeCell ref="E175:H175"/>
    <mergeCell ref="A176:C176"/>
    <mergeCell ref="E176:H176"/>
    <mergeCell ref="A177:C177"/>
    <mergeCell ref="E177:H177"/>
    <mergeCell ref="A178:C178"/>
    <mergeCell ref="E178:H178"/>
    <mergeCell ref="A165:C165"/>
    <mergeCell ref="E165:F165"/>
    <mergeCell ref="A166:H166"/>
    <mergeCell ref="A167:B167"/>
    <mergeCell ref="D167:H167"/>
    <mergeCell ref="A168:B168"/>
    <mergeCell ref="E168:H168"/>
    <mergeCell ref="A170:H170"/>
    <mergeCell ref="A173:H173"/>
    <mergeCell ref="E160:F160"/>
    <mergeCell ref="A161:C161"/>
    <mergeCell ref="E161:F161"/>
    <mergeCell ref="A162:C162"/>
    <mergeCell ref="E162:F162"/>
    <mergeCell ref="A163:C163"/>
    <mergeCell ref="E163:F163"/>
    <mergeCell ref="A164:C164"/>
    <mergeCell ref="E164:F164"/>
    <mergeCell ref="A155:C155"/>
    <mergeCell ref="E155:H155"/>
    <mergeCell ref="A156:C156"/>
    <mergeCell ref="E156:H156"/>
    <mergeCell ref="A157:C157"/>
    <mergeCell ref="E157:H157"/>
    <mergeCell ref="A158:C158"/>
    <mergeCell ref="E158:H158"/>
    <mergeCell ref="A159:H159"/>
    <mergeCell ref="A150:C150"/>
    <mergeCell ref="E150:H150"/>
    <mergeCell ref="A151:C151"/>
    <mergeCell ref="E151:H151"/>
    <mergeCell ref="A152:C152"/>
    <mergeCell ref="E152:H152"/>
    <mergeCell ref="A153:C153"/>
    <mergeCell ref="E153:H153"/>
    <mergeCell ref="A154:C154"/>
    <mergeCell ref="E154:H154"/>
    <mergeCell ref="A142:H142"/>
    <mergeCell ref="A145:H145"/>
    <mergeCell ref="A146:C146"/>
    <mergeCell ref="E146:H146"/>
    <mergeCell ref="A147:C147"/>
    <mergeCell ref="E147:H147"/>
    <mergeCell ref="A148:C148"/>
    <mergeCell ref="E148:H148"/>
    <mergeCell ref="A149:C149"/>
    <mergeCell ref="E149:H149"/>
    <mergeCell ref="E8:H8"/>
    <mergeCell ref="A36:C36"/>
    <mergeCell ref="E36:H36"/>
    <mergeCell ref="A64:C64"/>
    <mergeCell ref="E64:H64"/>
    <mergeCell ref="A92:C92"/>
    <mergeCell ref="E92:H92"/>
    <mergeCell ref="A120:C120"/>
    <mergeCell ref="E120:H120"/>
    <mergeCell ref="A110:H110"/>
    <mergeCell ref="A111:B111"/>
    <mergeCell ref="D111:H111"/>
    <mergeCell ref="A112:B112"/>
    <mergeCell ref="E112:H112"/>
    <mergeCell ref="A106:C106"/>
    <mergeCell ref="E106:F106"/>
    <mergeCell ref="A107:C107"/>
    <mergeCell ref="A102:C102"/>
    <mergeCell ref="E102:H102"/>
    <mergeCell ref="A103:H103"/>
    <mergeCell ref="A114:H114"/>
    <mergeCell ref="A117:H117"/>
    <mergeCell ref="A118:C118"/>
    <mergeCell ref="E118:H118"/>
    <mergeCell ref="I2:N2"/>
    <mergeCell ref="I3:N3"/>
    <mergeCell ref="I4:N4"/>
    <mergeCell ref="I5:N5"/>
    <mergeCell ref="A99:C99"/>
    <mergeCell ref="E99:H99"/>
    <mergeCell ref="A100:C100"/>
    <mergeCell ref="E100:H100"/>
    <mergeCell ref="A101:C101"/>
    <mergeCell ref="E101:H101"/>
    <mergeCell ref="A96:C96"/>
    <mergeCell ref="E96:H96"/>
    <mergeCell ref="A97:C97"/>
    <mergeCell ref="E97:H97"/>
    <mergeCell ref="A98:C98"/>
    <mergeCell ref="E98:H98"/>
    <mergeCell ref="A93:C93"/>
    <mergeCell ref="E93:H93"/>
    <mergeCell ref="A81:C81"/>
    <mergeCell ref="E81:F81"/>
    <mergeCell ref="A8:C8"/>
    <mergeCell ref="A94:C94"/>
    <mergeCell ref="E94:H94"/>
    <mergeCell ref="A95:C95"/>
    <mergeCell ref="A138:H138"/>
    <mergeCell ref="A139:B139"/>
    <mergeCell ref="D139:H139"/>
    <mergeCell ref="A140:B140"/>
    <mergeCell ref="E140:H140"/>
    <mergeCell ref="A134:C134"/>
    <mergeCell ref="E134:F134"/>
    <mergeCell ref="A135:C135"/>
    <mergeCell ref="E135:F135"/>
    <mergeCell ref="A136:C136"/>
    <mergeCell ref="E136:F136"/>
    <mergeCell ref="A137:C137"/>
    <mergeCell ref="E137:F137"/>
    <mergeCell ref="A130:C130"/>
    <mergeCell ref="E130:H130"/>
    <mergeCell ref="A131:H131"/>
    <mergeCell ref="E132:F132"/>
    <mergeCell ref="A133:C133"/>
    <mergeCell ref="E133:F133"/>
    <mergeCell ref="A127:C127"/>
    <mergeCell ref="E127:H127"/>
    <mergeCell ref="A128:C128"/>
    <mergeCell ref="E128:H128"/>
    <mergeCell ref="A129:C129"/>
    <mergeCell ref="E129:H129"/>
    <mergeCell ref="A124:C124"/>
    <mergeCell ref="E124:H124"/>
    <mergeCell ref="A125:C125"/>
    <mergeCell ref="E125:H125"/>
    <mergeCell ref="A126:C126"/>
    <mergeCell ref="E126:H126"/>
    <mergeCell ref="A121:C121"/>
    <mergeCell ref="E121:H121"/>
    <mergeCell ref="A122:C122"/>
    <mergeCell ref="E122:H122"/>
    <mergeCell ref="A123:C123"/>
    <mergeCell ref="E123:H123"/>
    <mergeCell ref="A119:C119"/>
    <mergeCell ref="E119:H119"/>
    <mergeCell ref="E104:F104"/>
    <mergeCell ref="A105:C105"/>
    <mergeCell ref="E105:F105"/>
    <mergeCell ref="E107:F107"/>
    <mergeCell ref="A108:C108"/>
    <mergeCell ref="E108:F108"/>
    <mergeCell ref="A109:C109"/>
    <mergeCell ref="E109:F109"/>
    <mergeCell ref="E95:H95"/>
    <mergeCell ref="A86:H86"/>
    <mergeCell ref="A89:H89"/>
    <mergeCell ref="A90:C90"/>
    <mergeCell ref="E90:H90"/>
    <mergeCell ref="A91:C91"/>
    <mergeCell ref="E91:H91"/>
    <mergeCell ref="A82:H82"/>
    <mergeCell ref="A83:B83"/>
    <mergeCell ref="D83:H83"/>
    <mergeCell ref="A84:B84"/>
    <mergeCell ref="E84:H84"/>
    <mergeCell ref="A78:C78"/>
    <mergeCell ref="E78:F78"/>
    <mergeCell ref="A79:C79"/>
    <mergeCell ref="E79:F79"/>
    <mergeCell ref="A80:C80"/>
    <mergeCell ref="E80:F80"/>
    <mergeCell ref="A74:C74"/>
    <mergeCell ref="E74:H74"/>
    <mergeCell ref="A75:H75"/>
    <mergeCell ref="E76:F76"/>
    <mergeCell ref="A77:C77"/>
    <mergeCell ref="E77:F77"/>
    <mergeCell ref="A71:C71"/>
    <mergeCell ref="E71:H71"/>
    <mergeCell ref="A72:C72"/>
    <mergeCell ref="E72:H72"/>
    <mergeCell ref="A73:C73"/>
    <mergeCell ref="E73:H73"/>
    <mergeCell ref="A68:C68"/>
    <mergeCell ref="E68:H68"/>
    <mergeCell ref="A69:C69"/>
    <mergeCell ref="E69:H69"/>
    <mergeCell ref="A70:C70"/>
    <mergeCell ref="E70:H70"/>
    <mergeCell ref="A65:C65"/>
    <mergeCell ref="E65:H65"/>
    <mergeCell ref="A66:C66"/>
    <mergeCell ref="E66:H66"/>
    <mergeCell ref="A67:C67"/>
    <mergeCell ref="E67:H67"/>
    <mergeCell ref="A58:H58"/>
    <mergeCell ref="A61:H61"/>
    <mergeCell ref="A62:C62"/>
    <mergeCell ref="E62:H62"/>
    <mergeCell ref="A63:C63"/>
    <mergeCell ref="E63:H63"/>
    <mergeCell ref="A54:H54"/>
    <mergeCell ref="A55:B55"/>
    <mergeCell ref="D55:H55"/>
    <mergeCell ref="A56:B56"/>
    <mergeCell ref="E56:H56"/>
    <mergeCell ref="A50:C50"/>
    <mergeCell ref="E50:F50"/>
    <mergeCell ref="A51:C51"/>
    <mergeCell ref="E51:F51"/>
    <mergeCell ref="A52:C52"/>
    <mergeCell ref="E52:F52"/>
    <mergeCell ref="A53:C53"/>
    <mergeCell ref="E53:F53"/>
    <mergeCell ref="A46:C46"/>
    <mergeCell ref="E46:H46"/>
    <mergeCell ref="A47:H47"/>
    <mergeCell ref="E48:F48"/>
    <mergeCell ref="A49:C49"/>
    <mergeCell ref="E49:F49"/>
    <mergeCell ref="A43:C43"/>
    <mergeCell ref="E43:H43"/>
    <mergeCell ref="A44:C44"/>
    <mergeCell ref="E44:H44"/>
    <mergeCell ref="A45:C45"/>
    <mergeCell ref="E45:H45"/>
    <mergeCell ref="A40:C40"/>
    <mergeCell ref="E40:H40"/>
    <mergeCell ref="A41:C41"/>
    <mergeCell ref="E41:H41"/>
    <mergeCell ref="A42:C42"/>
    <mergeCell ref="E42:H42"/>
    <mergeCell ref="A37:C37"/>
    <mergeCell ref="E37:H37"/>
    <mergeCell ref="A38:C38"/>
    <mergeCell ref="E38:H38"/>
    <mergeCell ref="A39:C39"/>
    <mergeCell ref="E39:H39"/>
    <mergeCell ref="A35:C35"/>
    <mergeCell ref="E35:H35"/>
    <mergeCell ref="A22:C22"/>
    <mergeCell ref="E22:F22"/>
    <mergeCell ref="A23:C23"/>
    <mergeCell ref="E23:F23"/>
    <mergeCell ref="A24:C24"/>
    <mergeCell ref="E24:F24"/>
    <mergeCell ref="A26:H26"/>
    <mergeCell ref="A27:B27"/>
    <mergeCell ref="D27:H27"/>
    <mergeCell ref="A28:B28"/>
    <mergeCell ref="E28:H28"/>
    <mergeCell ref="A25:C25"/>
    <mergeCell ref="E25:F25"/>
    <mergeCell ref="E16:H16"/>
    <mergeCell ref="A17:C17"/>
    <mergeCell ref="E17:H17"/>
    <mergeCell ref="A18:C18"/>
    <mergeCell ref="E18:H18"/>
    <mergeCell ref="A19:H19"/>
    <mergeCell ref="A30:H30"/>
    <mergeCell ref="A33:H33"/>
    <mergeCell ref="A34:C34"/>
    <mergeCell ref="E34:H34"/>
    <mergeCell ref="A2:H2"/>
    <mergeCell ref="A5:H5"/>
    <mergeCell ref="A6:C6"/>
    <mergeCell ref="E6:H6"/>
    <mergeCell ref="A7:C7"/>
    <mergeCell ref="E7:H7"/>
    <mergeCell ref="E20:F20"/>
    <mergeCell ref="A21:C21"/>
    <mergeCell ref="E21:F21"/>
    <mergeCell ref="A9:C9"/>
    <mergeCell ref="E9:H9"/>
    <mergeCell ref="A10:C10"/>
    <mergeCell ref="E10:H10"/>
    <mergeCell ref="A11:C11"/>
    <mergeCell ref="E11:H11"/>
    <mergeCell ref="A12:C12"/>
    <mergeCell ref="E12:H12"/>
    <mergeCell ref="A13:C13"/>
    <mergeCell ref="E13:H13"/>
    <mergeCell ref="A14:C14"/>
    <mergeCell ref="E14:H14"/>
    <mergeCell ref="A15:C15"/>
    <mergeCell ref="E15:H15"/>
    <mergeCell ref="A16:C16"/>
  </mergeCells>
  <dataValidations count="3">
    <dataValidation type="list" showInputMessage="1" showErrorMessage="1" promptTitle="Yes or No?" sqref="D124 D12 D7:D8 D40 D35:D36 D68 D63:D64 D96 D91:D92 D119:D120 D152 D147:D148 D180 D175:D176 D208 D203:D204 D236 D231:D232 D264 D259:D260" xr:uid="{08E79D8B-2577-46A0-AC2D-454EB2F058BF}">
      <formula1>YesNo</formula1>
    </dataValidation>
    <dataValidation type="list" showInputMessage="1" showErrorMessage="1" promptTitle="Choose Area" sqref="A88 A32 A4 A60 A116 A144 A172 A200 A228 A256" xr:uid="{9A8903FD-0CEC-4F95-B494-5CB6B48E1902}">
      <formula1>CatchNo</formula1>
    </dataValidation>
    <dataValidation type="decimal" operator="greaterThan" allowBlank="1" showInputMessage="1" showErrorMessage="1" sqref="D13:D18 D10:D11 D6 E24:F24 D41:D46 D38:D39 D34 E52:F52 D69:D74 D66:D67 D62 E80:F80 D97:D102 D94:D95 D90 E108:F108 D125:D130 D122:D123 D118 E136:F136 D153:D158 D150:D151 D146 E164:F164 D181:D186 D178:D179 D174 E192:F192 D209:D214 D206:D207 D202 E220:F220 D237:D242 D234:D235 D230 E248:F248 D265:D270 D262:D263 D258 E276:F276" xr:uid="{40AD23EA-37F8-44EB-8AE8-C3A91AF6AA83}">
      <formula1>0</formula1>
    </dataValidation>
  </dataValidations>
  <pageMargins left="0.5" right="0.5" top="0.75" bottom="0.5" header="0.3" footer="0.3"/>
  <pageSetup paperSize="278" orientation="portrait" r:id="rId1"/>
  <headerFooter>
    <oddHeader>&amp;C&amp;"Arial,Regular"&amp;18Filtration Bioretention (F-5)</oddHeader>
  </headerFooter>
  <rowBreaks count="10" manualBreakCount="10">
    <brk id="28" max="16383" man="1"/>
    <brk id="56" max="16383" man="1"/>
    <brk id="84" max="16383" man="1"/>
    <brk id="112" max="16383" man="1"/>
    <brk id="140" max="16383" man="1"/>
    <brk id="168" max="16383" man="1"/>
    <brk id="196" max="16383" man="1"/>
    <brk id="224" max="16383" man="1"/>
    <brk id="252" max="16383" man="1"/>
    <brk id="28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3D10F-48B5-482C-9DF7-77DBB89B07DC}">
  <dimension ref="A1:P280"/>
  <sheetViews>
    <sheetView view="pageLayout" zoomScaleNormal="100" workbookViewId="0">
      <selection activeCell="R10" sqref="R10"/>
    </sheetView>
  </sheetViews>
  <sheetFormatPr defaultColWidth="9.1796875" defaultRowHeight="12.5" x14ac:dyDescent="0.25"/>
  <cols>
    <col min="1" max="2" width="12.7265625" style="4" customWidth="1"/>
    <col min="3" max="3" width="13.7265625" style="4" customWidth="1"/>
    <col min="4" max="4" width="10.26953125" style="4" customWidth="1"/>
    <col min="5" max="5" width="6.453125" style="4" customWidth="1"/>
    <col min="6" max="6" width="8.54296875" style="4" customWidth="1"/>
    <col min="7" max="7" width="12.26953125" style="4" customWidth="1"/>
    <col min="8" max="8" width="18.7265625" style="4" customWidth="1"/>
    <col min="9" max="9" width="14" style="4" customWidth="1"/>
    <col min="10" max="13" width="9.1796875" style="4" hidden="1" customWidth="1"/>
    <col min="14" max="14" width="12.1796875" style="4" bestFit="1" customWidth="1"/>
    <col min="15" max="16384" width="9.1796875" style="4"/>
  </cols>
  <sheetData>
    <row r="1" spans="1:16" s="34" customFormat="1" ht="13" x14ac:dyDescent="0.3">
      <c r="A1" s="24" t="s">
        <v>56</v>
      </c>
      <c r="B1" s="23" t="str">
        <f>IF('STEP 2-WQv Calculation'!$B$4="","",'STEP 2-WQv Calculation'!$B$4)</f>
        <v/>
      </c>
      <c r="C1" s="31"/>
      <c r="D1" s="31"/>
      <c r="E1" s="32"/>
      <c r="F1" s="33"/>
      <c r="G1" s="33"/>
      <c r="H1" s="33"/>
    </row>
    <row r="2" spans="1:16" ht="15" customHeight="1" x14ac:dyDescent="0.25">
      <c r="A2" s="331" t="s">
        <v>293</v>
      </c>
      <c r="B2" s="332"/>
      <c r="C2" s="332"/>
      <c r="D2" s="332"/>
      <c r="E2" s="332"/>
      <c r="F2" s="332"/>
      <c r="G2" s="332"/>
      <c r="H2" s="333"/>
      <c r="I2" s="255" t="s">
        <v>219</v>
      </c>
      <c r="J2" s="256"/>
      <c r="K2" s="256"/>
      <c r="L2" s="256"/>
      <c r="M2" s="256"/>
      <c r="N2" s="256"/>
      <c r="O2" s="49">
        <f>SUM(B4,B32,B60,B88,B116,B144,B172,B200,B228,B256)</f>
        <v>0</v>
      </c>
      <c r="P2" s="12" t="s">
        <v>223</v>
      </c>
    </row>
    <row r="3" spans="1:16" s="34" customFormat="1" ht="46.75" customHeight="1" x14ac:dyDescent="0.3">
      <c r="A3" s="204" t="s">
        <v>60</v>
      </c>
      <c r="B3" s="205" t="s">
        <v>61</v>
      </c>
      <c r="C3" s="205" t="s">
        <v>62</v>
      </c>
      <c r="D3" s="205" t="s">
        <v>63</v>
      </c>
      <c r="E3" s="205" t="s">
        <v>64</v>
      </c>
      <c r="F3" s="205" t="s">
        <v>65</v>
      </c>
      <c r="G3" s="205" t="s">
        <v>244</v>
      </c>
      <c r="H3" s="206" t="s">
        <v>13</v>
      </c>
      <c r="I3" s="255" t="s">
        <v>245</v>
      </c>
      <c r="J3" s="256"/>
      <c r="K3" s="256"/>
      <c r="L3" s="256"/>
      <c r="M3" s="256"/>
      <c r="N3" s="256"/>
      <c r="O3" s="21">
        <f>SUM(C4,C32,C60,C88,C116,C144,C172,C200,C228,C256)</f>
        <v>0</v>
      </c>
      <c r="P3" s="12" t="s">
        <v>223</v>
      </c>
    </row>
    <row r="4" spans="1:16" ht="30.25" customHeight="1" x14ac:dyDescent="0.2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56"/>
      <c r="L4" s="256"/>
      <c r="M4" s="256"/>
      <c r="N4" s="256"/>
      <c r="O4" s="28">
        <f>SUM(C27,C55,C83,C111,C139,C167,C195,C223,C251,C279)</f>
        <v>0</v>
      </c>
      <c r="P4" s="12" t="s">
        <v>2</v>
      </c>
    </row>
    <row r="5" spans="1:16" ht="15" customHeight="1" x14ac:dyDescent="0.25">
      <c r="A5" s="236" t="s">
        <v>226</v>
      </c>
      <c r="B5" s="237"/>
      <c r="C5" s="237"/>
      <c r="D5" s="237"/>
      <c r="E5" s="237"/>
      <c r="F5" s="237"/>
      <c r="G5" s="237"/>
      <c r="H5" s="238"/>
      <c r="I5" s="413" t="s">
        <v>447</v>
      </c>
      <c r="J5" s="414"/>
      <c r="K5" s="414"/>
      <c r="L5" s="414"/>
      <c r="M5" s="414"/>
      <c r="N5" s="414"/>
      <c r="O5" s="28">
        <f>SUM(C28,C56,C84,C112,C140,C168,C196,C224,C252,C280)</f>
        <v>0</v>
      </c>
      <c r="P5" s="12" t="s">
        <v>2</v>
      </c>
    </row>
    <row r="6" spans="1:16" ht="15" customHeight="1" x14ac:dyDescent="0.25">
      <c r="A6" s="354" t="s">
        <v>325</v>
      </c>
      <c r="B6" s="355"/>
      <c r="C6" s="356"/>
      <c r="D6" s="139"/>
      <c r="E6" s="357"/>
      <c r="F6" s="358"/>
      <c r="G6" s="358"/>
      <c r="H6" s="359"/>
    </row>
    <row r="7" spans="1:16" s="1" customFormat="1" ht="14.5" x14ac:dyDescent="0.35">
      <c r="A7" s="242" t="s">
        <v>591</v>
      </c>
      <c r="B7" s="243"/>
      <c r="C7" s="244"/>
      <c r="D7" s="211"/>
      <c r="E7" s="322" t="str">
        <f>IF(D7="No","Does not meet design criteria","")</f>
        <v/>
      </c>
      <c r="F7" s="323"/>
      <c r="G7" s="323"/>
      <c r="H7" s="324"/>
      <c r="I7" s="4"/>
    </row>
    <row r="8" spans="1:16" s="1" customFormat="1" ht="26.5" customHeight="1" x14ac:dyDescent="0.35">
      <c r="A8" s="242" t="s">
        <v>592</v>
      </c>
      <c r="B8" s="243"/>
      <c r="C8" s="244"/>
      <c r="D8" s="211"/>
      <c r="E8" s="322" t="str">
        <f>IF(D8="Yes","Impermeable liner required","")</f>
        <v/>
      </c>
      <c r="F8" s="323"/>
      <c r="G8" s="323"/>
      <c r="H8" s="324"/>
      <c r="I8" s="4"/>
    </row>
    <row r="9" spans="1:16" s="1" customFormat="1" ht="26.5" customHeight="1" x14ac:dyDescent="0.35">
      <c r="A9" s="242" t="s">
        <v>593</v>
      </c>
      <c r="B9" s="243"/>
      <c r="C9" s="244"/>
      <c r="D9" s="44"/>
      <c r="E9" s="322" t="str">
        <f>IF(D9&gt;100,"Does not meet design criteria","")</f>
        <v/>
      </c>
      <c r="F9" s="323"/>
      <c r="G9" s="323"/>
      <c r="H9" s="324"/>
      <c r="I9" s="4"/>
    </row>
    <row r="10" spans="1:16" s="1" customFormat="1" ht="14.5" customHeight="1" x14ac:dyDescent="0.35">
      <c r="A10" s="242" t="s">
        <v>594</v>
      </c>
      <c r="B10" s="243"/>
      <c r="C10" s="244"/>
      <c r="D10" s="44"/>
      <c r="E10" s="322" t="str">
        <f>IF(D10&gt;150,"Does not meet design criteria","")</f>
        <v/>
      </c>
      <c r="F10" s="323"/>
      <c r="G10" s="323"/>
      <c r="H10" s="324"/>
      <c r="I10" s="4"/>
    </row>
    <row r="11" spans="1:16" s="1" customFormat="1" ht="13.9" customHeight="1" x14ac:dyDescent="0.35">
      <c r="A11" s="242" t="s">
        <v>296</v>
      </c>
      <c r="B11" s="243"/>
      <c r="C11" s="244"/>
      <c r="D11" s="43"/>
      <c r="E11" s="322" t="str">
        <f>IF(D11="","",IF(D11&lt;2,"Impermeable liner required",""))</f>
        <v/>
      </c>
      <c r="F11" s="323"/>
      <c r="G11" s="323"/>
      <c r="H11" s="324"/>
      <c r="I11" s="4"/>
    </row>
    <row r="12" spans="1:16" s="1" customFormat="1" ht="13.9" customHeight="1" x14ac:dyDescent="0.35">
      <c r="A12" s="242" t="s">
        <v>297</v>
      </c>
      <c r="B12" s="243"/>
      <c r="C12" s="244"/>
      <c r="D12" s="43"/>
      <c r="E12" s="322" t="str">
        <f>IF(D12="","",IF(D12&lt;2,"Impermeable liner required",""))</f>
        <v/>
      </c>
      <c r="F12" s="323"/>
      <c r="G12" s="323"/>
      <c r="H12" s="324"/>
      <c r="I12" s="4"/>
    </row>
    <row r="13" spans="1:16" s="1" customFormat="1" ht="26.5" customHeight="1" x14ac:dyDescent="0.35">
      <c r="A13" s="242" t="s">
        <v>595</v>
      </c>
      <c r="B13" s="243"/>
      <c r="C13" s="244"/>
      <c r="D13" s="211"/>
      <c r="E13" s="322" t="str">
        <f>IF(D13="No","Does not meet design criteria","")</f>
        <v/>
      </c>
      <c r="F13" s="323"/>
      <c r="G13" s="323"/>
      <c r="H13" s="324"/>
      <c r="I13" s="4"/>
    </row>
    <row r="14" spans="1:16" s="1" customFormat="1" ht="13.9" customHeight="1" x14ac:dyDescent="0.35">
      <c r="A14" s="242" t="s">
        <v>558</v>
      </c>
      <c r="B14" s="243"/>
      <c r="C14" s="244"/>
      <c r="D14" s="43"/>
      <c r="E14" s="322" t="str">
        <f>IF(D14="","",IF(D14&lt;1,"Does not meet design criteria",""))</f>
        <v/>
      </c>
      <c r="F14" s="323"/>
      <c r="G14" s="323"/>
      <c r="H14" s="324"/>
      <c r="I14" s="4"/>
    </row>
    <row r="15" spans="1:16" s="1" customFormat="1" ht="13.9" customHeight="1" x14ac:dyDescent="0.35">
      <c r="A15" s="242" t="s">
        <v>402</v>
      </c>
      <c r="B15" s="243"/>
      <c r="C15" s="244"/>
      <c r="D15" s="43"/>
      <c r="E15" s="322" t="str">
        <f>IF(D15="","",IF(D15&lt;14,"Does not meet design criteria",""))</f>
        <v/>
      </c>
      <c r="F15" s="323"/>
      <c r="G15" s="323"/>
      <c r="H15" s="324"/>
      <c r="I15" s="4"/>
    </row>
    <row r="16" spans="1:16" s="1" customFormat="1" ht="24.75" customHeight="1" x14ac:dyDescent="0.35">
      <c r="A16" s="242" t="s">
        <v>706</v>
      </c>
      <c r="B16" s="406"/>
      <c r="C16" s="407"/>
      <c r="D16" s="43"/>
      <c r="E16" s="322" t="str">
        <f>IF(D16="","",IF(D16&lt;4,"Does not meet design standards",""))</f>
        <v/>
      </c>
      <c r="F16" s="406"/>
      <c r="G16" s="406"/>
      <c r="H16" s="407"/>
      <c r="I16" s="4"/>
    </row>
    <row r="17" spans="1:16" s="1" customFormat="1" ht="26.25" customHeight="1" x14ac:dyDescent="0.35">
      <c r="A17" s="242" t="s">
        <v>707</v>
      </c>
      <c r="B17" s="406"/>
      <c r="C17" s="407"/>
      <c r="D17" s="43"/>
      <c r="E17" s="322" t="str">
        <f>IF(D17="","",IF(D17&gt;5,"Does not meet design standards.",""))</f>
        <v/>
      </c>
      <c r="F17" s="406"/>
      <c r="G17" s="406"/>
      <c r="H17" s="407"/>
      <c r="I17" s="4"/>
    </row>
    <row r="18" spans="1:16" s="1" customFormat="1" ht="13.9" customHeight="1" x14ac:dyDescent="0.35">
      <c r="A18" s="242" t="s">
        <v>520</v>
      </c>
      <c r="B18" s="243"/>
      <c r="C18" s="244"/>
      <c r="D18" s="43"/>
      <c r="E18" s="322" t="str">
        <f>IF(D18&gt;15,"Does not meet design criteria","")</f>
        <v/>
      </c>
      <c r="F18" s="323"/>
      <c r="G18" s="323"/>
      <c r="H18" s="324"/>
      <c r="I18" s="4"/>
    </row>
    <row r="19" spans="1:16" s="1" customFormat="1" ht="13.9" customHeight="1" x14ac:dyDescent="0.35">
      <c r="A19" s="242" t="s">
        <v>521</v>
      </c>
      <c r="B19" s="243"/>
      <c r="C19" s="244"/>
      <c r="D19" s="43"/>
      <c r="E19" s="322" t="str">
        <f>IF(D19="","",IF(D19&lt;12,"Does not meet design criteria",""))</f>
        <v/>
      </c>
      <c r="F19" s="323"/>
      <c r="G19" s="323"/>
      <c r="H19" s="324"/>
      <c r="I19" s="4"/>
    </row>
    <row r="20" spans="1:16" ht="15" customHeight="1" x14ac:dyDescent="0.25">
      <c r="A20" s="236" t="s">
        <v>232</v>
      </c>
      <c r="B20" s="237"/>
      <c r="C20" s="237"/>
      <c r="D20" s="237"/>
      <c r="E20" s="237"/>
      <c r="F20" s="237"/>
      <c r="G20" s="237"/>
      <c r="H20" s="238"/>
    </row>
    <row r="21" spans="1:16" s="34" customFormat="1" ht="15" customHeight="1" x14ac:dyDescent="0.3">
      <c r="A21" s="35"/>
      <c r="B21" s="36"/>
      <c r="C21" s="36"/>
      <c r="D21" s="208" t="s">
        <v>256</v>
      </c>
      <c r="E21" s="141" t="s">
        <v>257</v>
      </c>
      <c r="F21" s="375" t="s">
        <v>258</v>
      </c>
      <c r="G21" s="376"/>
      <c r="H21" s="377"/>
      <c r="I21" s="4"/>
      <c r="J21" s="4"/>
      <c r="K21" s="4"/>
      <c r="L21" s="4"/>
      <c r="M21" s="4"/>
      <c r="N21" s="4"/>
      <c r="O21" s="4"/>
      <c r="P21" s="4"/>
    </row>
    <row r="22" spans="1:16" ht="15.75" customHeight="1" x14ac:dyDescent="0.25">
      <c r="A22" s="245" t="s">
        <v>596</v>
      </c>
      <c r="B22" s="245"/>
      <c r="C22" s="159" t="s">
        <v>328</v>
      </c>
      <c r="D22" s="218"/>
      <c r="E22" s="193" t="s">
        <v>329</v>
      </c>
      <c r="F22" s="345" t="s">
        <v>330</v>
      </c>
      <c r="G22" s="345"/>
      <c r="H22" s="345"/>
    </row>
    <row r="23" spans="1:16" x14ac:dyDescent="0.25">
      <c r="A23" s="245" t="s">
        <v>597</v>
      </c>
      <c r="B23" s="245"/>
      <c r="C23" s="198" t="s">
        <v>270</v>
      </c>
      <c r="D23" s="218"/>
      <c r="E23" s="192" t="s">
        <v>271</v>
      </c>
      <c r="F23" s="344" t="s">
        <v>721</v>
      </c>
      <c r="G23" s="344"/>
      <c r="H23" s="344"/>
    </row>
    <row r="24" spans="1:16" x14ac:dyDescent="0.25">
      <c r="A24" s="245" t="s">
        <v>598</v>
      </c>
      <c r="B24" s="245"/>
      <c r="C24" s="198" t="s">
        <v>599</v>
      </c>
      <c r="D24" s="160" t="str">
        <f>IF(D23="","",IF(ROUND(((43200*D22)/(D23*10)),0)&lt;2,2,ROUND(((43200*D22)/(D23*10)),0)))</f>
        <v/>
      </c>
      <c r="E24" s="192" t="s">
        <v>271</v>
      </c>
      <c r="F24" s="289"/>
      <c r="G24" s="289"/>
      <c r="H24" s="289"/>
    </row>
    <row r="25" spans="1:16" x14ac:dyDescent="0.25">
      <c r="A25" s="245" t="s">
        <v>722</v>
      </c>
      <c r="B25" s="245"/>
      <c r="C25" s="198" t="s">
        <v>599</v>
      </c>
      <c r="D25" s="218"/>
      <c r="E25" s="192" t="s">
        <v>271</v>
      </c>
      <c r="F25" s="344" t="str">
        <f>IF(D25&lt;D24,"Does not meet design criteria","")</f>
        <v/>
      </c>
      <c r="G25" s="344"/>
      <c r="H25" s="344"/>
    </row>
    <row r="26" spans="1:16" ht="15" customHeight="1" x14ac:dyDescent="0.25">
      <c r="A26" s="236" t="s">
        <v>276</v>
      </c>
      <c r="B26" s="237"/>
      <c r="C26" s="237"/>
      <c r="D26" s="237"/>
      <c r="E26" s="237"/>
      <c r="F26" s="237"/>
      <c r="G26" s="237"/>
      <c r="H26" s="238"/>
    </row>
    <row r="27" spans="1:16" s="34" customFormat="1" ht="30.25" customHeight="1" x14ac:dyDescent="0.3">
      <c r="A27" s="335" t="s">
        <v>241</v>
      </c>
      <c r="B27" s="335"/>
      <c r="C27" s="9" t="str">
        <f>IF(A4="","",IF(D7="No",0,IF(D9&gt;100,0,IF(D10&gt;150,0,IF(D13="No",0,IF(D14&lt;1,0,IF(D15&lt;14,0,IF(D18&gt;15,0,IF(D19&lt;12,0,IF(D25&lt;D24,0,IF(D16&lt;4,0,IF(D17&gt;5,0,IF(D6="A",(F4*0.4),IF(D6="B",(F4*0.4),IF(D6="C",(F4*0.2),IF(D6="D",(F4*0.2)))))))))))))))))</f>
        <v/>
      </c>
      <c r="D27" s="339" t="s">
        <v>2</v>
      </c>
      <c r="E27" s="340"/>
      <c r="F27" s="340"/>
      <c r="G27" s="340"/>
      <c r="H27" s="341"/>
      <c r="I27" s="4"/>
      <c r="J27" s="4"/>
      <c r="K27" s="4"/>
      <c r="L27" s="4"/>
      <c r="M27" s="4"/>
      <c r="N27" s="4"/>
      <c r="O27" s="4"/>
      <c r="P27" s="4"/>
    </row>
    <row r="28" spans="1:16" ht="30.25" customHeight="1" x14ac:dyDescent="0.25">
      <c r="A28" s="265" t="s">
        <v>74</v>
      </c>
      <c r="B28" s="265"/>
      <c r="C28" s="212" t="str">
        <f>IF(A4="","",IF(C27=0,0,IF(D25&lt;D24,0,F4-C27)))</f>
        <v/>
      </c>
      <c r="D28" s="193" t="s">
        <v>2</v>
      </c>
      <c r="E28" s="242" t="s">
        <v>590</v>
      </c>
      <c r="F28" s="243"/>
      <c r="G28" s="243"/>
      <c r="H28" s="244"/>
    </row>
    <row r="29" spans="1:16" s="34" customFormat="1" ht="13.15" customHeight="1" x14ac:dyDescent="0.3">
      <c r="A29" s="24" t="s">
        <v>56</v>
      </c>
      <c r="B29" s="23" t="str">
        <f>IF('STEP 2-WQv Calculation'!$B$4="","",'STEP 2-WQv Calculation'!$B$4)</f>
        <v/>
      </c>
      <c r="C29" s="31"/>
      <c r="D29" s="31"/>
      <c r="E29" s="32"/>
      <c r="F29" s="33"/>
      <c r="G29" s="33"/>
      <c r="H29" s="33"/>
    </row>
    <row r="30" spans="1:16" ht="15" customHeight="1" x14ac:dyDescent="0.25">
      <c r="A30" s="331" t="s">
        <v>293</v>
      </c>
      <c r="B30" s="332"/>
      <c r="C30" s="332"/>
      <c r="D30" s="332"/>
      <c r="E30" s="332"/>
      <c r="F30" s="332"/>
      <c r="G30" s="332"/>
      <c r="H30" s="333"/>
      <c r="I30" s="255"/>
      <c r="J30" s="256"/>
      <c r="K30" s="256"/>
      <c r="L30" s="256"/>
      <c r="M30" s="256"/>
      <c r="N30" s="256"/>
      <c r="O30" s="49"/>
      <c r="P30" s="12"/>
    </row>
    <row r="31" spans="1:16" s="34" customFormat="1" ht="46.75" customHeight="1" x14ac:dyDescent="0.3">
      <c r="A31" s="204" t="s">
        <v>60</v>
      </c>
      <c r="B31" s="205" t="s">
        <v>61</v>
      </c>
      <c r="C31" s="205" t="s">
        <v>62</v>
      </c>
      <c r="D31" s="205" t="s">
        <v>63</v>
      </c>
      <c r="E31" s="205" t="s">
        <v>64</v>
      </c>
      <c r="F31" s="205" t="s">
        <v>65</v>
      </c>
      <c r="G31" s="205" t="s">
        <v>244</v>
      </c>
      <c r="H31" s="206" t="s">
        <v>13</v>
      </c>
      <c r="I31" s="255"/>
      <c r="J31" s="256"/>
      <c r="K31" s="256"/>
      <c r="L31" s="256"/>
      <c r="M31" s="256"/>
      <c r="N31" s="256"/>
      <c r="O31" s="28"/>
      <c r="P31" s="12"/>
    </row>
    <row r="32" spans="1:16" ht="30.25" customHeight="1" x14ac:dyDescent="0.25">
      <c r="A32" s="17"/>
      <c r="B32" s="18" t="str">
        <f>IF($A32="","",(LOOKUP($A32,'STEP 2-WQv Calculation'!$A$8:$A$37,'STEP 2-WQv Calculation'!$B$8:$B$37)))</f>
        <v/>
      </c>
      <c r="C32" s="18" t="str">
        <f>IF($A32="","",(LOOKUP($A32,'STEP 2-WQv Calculation'!$A$8:$A$37,'STEP 2-WQv Calculation'!$C$8:$C$37)))</f>
        <v/>
      </c>
      <c r="D32" s="53" t="str">
        <f>IF($A32="","",(LOOKUP($A32,'STEP 2-WQv Calculation'!$A$8:$A$37,'STEP 2-WQv Calculation'!$D$8:$D$37)))</f>
        <v/>
      </c>
      <c r="E32" s="18" t="str">
        <f>IF($A32="","",(LOOKUP($A32,'STEP 2-WQv Calculation'!$A$8:$A$37,'STEP 2-WQv Calculation'!$E$8:$E$37)))</f>
        <v/>
      </c>
      <c r="F32" s="42" t="str">
        <f>IF($A32="","",(LOOKUP($A32,'STEP 2-WQv Calculation'!$A$8:$A$37,'STEP 2-WQv Calculation'!$F$8:$F$37)))</f>
        <v/>
      </c>
      <c r="G32" s="18">
        <f>'STEP 2-WQv Calculation'!$B$5</f>
        <v>0</v>
      </c>
      <c r="H32" s="29" t="str">
        <f>IF($A32="","",(LOOKUP($A32,'STEP 2-WQv Calculation'!$A$8:$A$37,'STEP 2-WQv Calculation'!$G$8:$G$37)))</f>
        <v/>
      </c>
      <c r="I32" s="255"/>
      <c r="J32" s="256"/>
      <c r="K32" s="256"/>
      <c r="L32" s="256"/>
      <c r="M32" s="256"/>
      <c r="N32" s="256"/>
      <c r="O32" s="28"/>
      <c r="P32" s="12"/>
    </row>
    <row r="33" spans="1:16" ht="15" customHeight="1" x14ac:dyDescent="0.25">
      <c r="A33" s="236" t="s">
        <v>226</v>
      </c>
      <c r="B33" s="237"/>
      <c r="C33" s="237"/>
      <c r="D33" s="237"/>
      <c r="E33" s="237"/>
      <c r="F33" s="237"/>
      <c r="G33" s="237"/>
      <c r="H33" s="238"/>
      <c r="I33" s="413"/>
      <c r="J33" s="414"/>
      <c r="K33" s="414"/>
      <c r="L33" s="414"/>
      <c r="M33" s="414"/>
      <c r="N33" s="414"/>
      <c r="O33" s="28"/>
      <c r="P33" s="12"/>
    </row>
    <row r="34" spans="1:16" ht="15" customHeight="1" x14ac:dyDescent="0.25">
      <c r="A34" s="354" t="s">
        <v>325</v>
      </c>
      <c r="B34" s="355"/>
      <c r="C34" s="356"/>
      <c r="D34" s="139"/>
      <c r="E34" s="357"/>
      <c r="F34" s="358"/>
      <c r="G34" s="358"/>
      <c r="H34" s="359"/>
    </row>
    <row r="35" spans="1:16" s="1" customFormat="1" ht="14.25" customHeight="1" x14ac:dyDescent="0.35">
      <c r="A35" s="242" t="s">
        <v>591</v>
      </c>
      <c r="B35" s="243"/>
      <c r="C35" s="244"/>
      <c r="D35" s="211"/>
      <c r="E35" s="322" t="str">
        <f>IF(D35="No","Does not meet design criteria","")</f>
        <v/>
      </c>
      <c r="F35" s="323"/>
      <c r="G35" s="323"/>
      <c r="H35" s="324"/>
      <c r="I35" s="4"/>
    </row>
    <row r="36" spans="1:16" s="1" customFormat="1" ht="26.5" customHeight="1" x14ac:dyDescent="0.35">
      <c r="A36" s="242" t="s">
        <v>592</v>
      </c>
      <c r="B36" s="243"/>
      <c r="C36" s="244"/>
      <c r="D36" s="211"/>
      <c r="E36" s="322" t="str">
        <f>IF(D36="Yes","Impermeable liner required","")</f>
        <v/>
      </c>
      <c r="F36" s="323"/>
      <c r="G36" s="323"/>
      <c r="H36" s="324"/>
      <c r="I36" s="4"/>
    </row>
    <row r="37" spans="1:16" s="1" customFormat="1" ht="26.5" customHeight="1" x14ac:dyDescent="0.35">
      <c r="A37" s="242" t="s">
        <v>593</v>
      </c>
      <c r="B37" s="243"/>
      <c r="C37" s="244"/>
      <c r="D37" s="44"/>
      <c r="E37" s="322" t="str">
        <f>IF(D37&gt;100,"Does not meet design criteria","")</f>
        <v/>
      </c>
      <c r="F37" s="323"/>
      <c r="G37" s="323"/>
      <c r="H37" s="324"/>
      <c r="I37" s="4"/>
    </row>
    <row r="38" spans="1:16" s="1" customFormat="1" ht="14.5" customHeight="1" x14ac:dyDescent="0.35">
      <c r="A38" s="242" t="s">
        <v>594</v>
      </c>
      <c r="B38" s="243"/>
      <c r="C38" s="244"/>
      <c r="D38" s="44"/>
      <c r="E38" s="322" t="str">
        <f>IF(D38&gt;150,"Does not meet design criteria","")</f>
        <v/>
      </c>
      <c r="F38" s="323"/>
      <c r="G38" s="323"/>
      <c r="H38" s="324"/>
      <c r="I38" s="4"/>
    </row>
    <row r="39" spans="1:16" s="1" customFormat="1" ht="13.9" customHeight="1" x14ac:dyDescent="0.35">
      <c r="A39" s="242" t="s">
        <v>296</v>
      </c>
      <c r="B39" s="243"/>
      <c r="C39" s="244"/>
      <c r="D39" s="43"/>
      <c r="E39" s="322" t="str">
        <f>IF(D39="","",IF(D39&lt;2,"Impermeable liner required",""))</f>
        <v/>
      </c>
      <c r="F39" s="323"/>
      <c r="G39" s="323"/>
      <c r="H39" s="324"/>
      <c r="I39" s="4"/>
    </row>
    <row r="40" spans="1:16" s="1" customFormat="1" ht="13.9" customHeight="1" x14ac:dyDescent="0.35">
      <c r="A40" s="242" t="s">
        <v>297</v>
      </c>
      <c r="B40" s="243"/>
      <c r="C40" s="244"/>
      <c r="D40" s="43"/>
      <c r="E40" s="322" t="str">
        <f>IF(D40="","",IF(D40&lt;2,"Impermeable liner required",""))</f>
        <v/>
      </c>
      <c r="F40" s="323"/>
      <c r="G40" s="323"/>
      <c r="H40" s="324"/>
      <c r="I40" s="4"/>
    </row>
    <row r="41" spans="1:16" s="1" customFormat="1" ht="26.5" customHeight="1" x14ac:dyDescent="0.35">
      <c r="A41" s="242" t="s">
        <v>595</v>
      </c>
      <c r="B41" s="243"/>
      <c r="C41" s="244"/>
      <c r="D41" s="211"/>
      <c r="E41" s="322" t="str">
        <f>IF(D41="No","Does not meet design criteria","")</f>
        <v/>
      </c>
      <c r="F41" s="323"/>
      <c r="G41" s="323"/>
      <c r="H41" s="324"/>
      <c r="I41" s="4"/>
    </row>
    <row r="42" spans="1:16" s="1" customFormat="1" ht="13.9" customHeight="1" x14ac:dyDescent="0.35">
      <c r="A42" s="242" t="s">
        <v>558</v>
      </c>
      <c r="B42" s="243"/>
      <c r="C42" s="244"/>
      <c r="D42" s="43"/>
      <c r="E42" s="322" t="str">
        <f>IF(D42="","",IF(D42&lt;1,"Does not meet design criteria",""))</f>
        <v/>
      </c>
      <c r="F42" s="323"/>
      <c r="G42" s="323"/>
      <c r="H42" s="324"/>
      <c r="I42" s="4"/>
    </row>
    <row r="43" spans="1:16" s="1" customFormat="1" ht="13.9" customHeight="1" x14ac:dyDescent="0.35">
      <c r="A43" s="242" t="s">
        <v>402</v>
      </c>
      <c r="B43" s="243"/>
      <c r="C43" s="244"/>
      <c r="D43" s="43"/>
      <c r="E43" s="322" t="str">
        <f>IF(D43="","",IF(D43&lt;14,"Does not meet design criteria",""))</f>
        <v/>
      </c>
      <c r="F43" s="323"/>
      <c r="G43" s="323"/>
      <c r="H43" s="324"/>
      <c r="I43" s="4"/>
    </row>
    <row r="44" spans="1:16" s="1" customFormat="1" ht="27" customHeight="1" x14ac:dyDescent="0.35">
      <c r="A44" s="242" t="s">
        <v>706</v>
      </c>
      <c r="B44" s="406"/>
      <c r="C44" s="407"/>
      <c r="D44" s="43"/>
      <c r="E44" s="322" t="str">
        <f>IF(D44="","",IF(D44&lt;4,"Does not meet design standards",""))</f>
        <v/>
      </c>
      <c r="F44" s="406"/>
      <c r="G44" s="406"/>
      <c r="H44" s="407"/>
      <c r="I44" s="4"/>
    </row>
    <row r="45" spans="1:16" s="1" customFormat="1" ht="27.75" customHeight="1" x14ac:dyDescent="0.35">
      <c r="A45" s="242" t="s">
        <v>707</v>
      </c>
      <c r="B45" s="406"/>
      <c r="C45" s="407"/>
      <c r="D45" s="43"/>
      <c r="E45" s="322" t="str">
        <f>IF(D45="","",IF(D45&gt;5,"Does not meet design standards.",""))</f>
        <v/>
      </c>
      <c r="F45" s="406"/>
      <c r="G45" s="406"/>
      <c r="H45" s="407"/>
      <c r="I45" s="4"/>
    </row>
    <row r="46" spans="1:16" s="1" customFormat="1" ht="13.9" customHeight="1" x14ac:dyDescent="0.35">
      <c r="A46" s="242" t="s">
        <v>520</v>
      </c>
      <c r="B46" s="243"/>
      <c r="C46" s="244"/>
      <c r="D46" s="43"/>
      <c r="E46" s="322" t="str">
        <f>IF(D46&gt;15,"Does not meet design criteria","")</f>
        <v/>
      </c>
      <c r="F46" s="323"/>
      <c r="G46" s="323"/>
      <c r="H46" s="324"/>
      <c r="I46" s="4"/>
    </row>
    <row r="47" spans="1:16" s="1" customFormat="1" ht="13.9" customHeight="1" x14ac:dyDescent="0.35">
      <c r="A47" s="242" t="s">
        <v>521</v>
      </c>
      <c r="B47" s="243"/>
      <c r="C47" s="244"/>
      <c r="D47" s="43"/>
      <c r="E47" s="322" t="str">
        <f>IF(D47="","",IF(D47&lt;12,"Does not meet design criteria",""))</f>
        <v/>
      </c>
      <c r="F47" s="323"/>
      <c r="G47" s="323"/>
      <c r="H47" s="324"/>
      <c r="I47" s="4"/>
    </row>
    <row r="48" spans="1:16" ht="15" customHeight="1" x14ac:dyDescent="0.25">
      <c r="A48" s="236" t="s">
        <v>232</v>
      </c>
      <c r="B48" s="237"/>
      <c r="C48" s="237"/>
      <c r="D48" s="237"/>
      <c r="E48" s="237"/>
      <c r="F48" s="237"/>
      <c r="G48" s="237"/>
      <c r="H48" s="238"/>
    </row>
    <row r="49" spans="1:16" s="34" customFormat="1" ht="15" customHeight="1" x14ac:dyDescent="0.3">
      <c r="A49" s="35"/>
      <c r="B49" s="36"/>
      <c r="C49" s="36"/>
      <c r="D49" s="208" t="s">
        <v>256</v>
      </c>
      <c r="E49" s="141" t="s">
        <v>257</v>
      </c>
      <c r="F49" s="375" t="s">
        <v>258</v>
      </c>
      <c r="G49" s="376"/>
      <c r="H49" s="377"/>
      <c r="I49" s="4"/>
      <c r="J49" s="4"/>
      <c r="K49" s="4"/>
      <c r="L49" s="4"/>
      <c r="M49" s="4"/>
      <c r="N49" s="4"/>
      <c r="O49" s="4"/>
      <c r="P49" s="4"/>
    </row>
    <row r="50" spans="1:16" ht="12.75" customHeight="1" x14ac:dyDescent="0.25">
      <c r="A50" s="245" t="s">
        <v>596</v>
      </c>
      <c r="B50" s="245"/>
      <c r="C50" s="159" t="s">
        <v>328</v>
      </c>
      <c r="D50" s="218"/>
      <c r="E50" s="193" t="s">
        <v>329</v>
      </c>
      <c r="F50" s="345" t="s">
        <v>330</v>
      </c>
      <c r="G50" s="345"/>
      <c r="H50" s="345"/>
    </row>
    <row r="51" spans="1:16" ht="12.75" customHeight="1" x14ac:dyDescent="0.25">
      <c r="A51" s="245" t="s">
        <v>597</v>
      </c>
      <c r="B51" s="245"/>
      <c r="C51" s="198" t="s">
        <v>270</v>
      </c>
      <c r="D51" s="218"/>
      <c r="E51" s="192" t="s">
        <v>271</v>
      </c>
      <c r="F51" s="344" t="s">
        <v>721</v>
      </c>
      <c r="G51" s="344"/>
      <c r="H51" s="344"/>
    </row>
    <row r="52" spans="1:16" ht="12.75" customHeight="1" x14ac:dyDescent="0.25">
      <c r="A52" s="245" t="s">
        <v>598</v>
      </c>
      <c r="B52" s="245"/>
      <c r="C52" s="198" t="s">
        <v>599</v>
      </c>
      <c r="D52" s="160" t="str">
        <f>IF(D51="","",IF(ROUND(((43200*D50)/(D51*10)),0)&lt;2,2,ROUND(((43200*D50)/(D51*10)),0)))</f>
        <v/>
      </c>
      <c r="E52" s="192" t="s">
        <v>271</v>
      </c>
      <c r="F52" s="289"/>
      <c r="G52" s="289"/>
      <c r="H52" s="289"/>
    </row>
    <row r="53" spans="1:16" ht="12.75" customHeight="1" x14ac:dyDescent="0.25">
      <c r="A53" s="245" t="s">
        <v>722</v>
      </c>
      <c r="B53" s="245"/>
      <c r="C53" s="198" t="s">
        <v>599</v>
      </c>
      <c r="D53" s="218"/>
      <c r="E53" s="192" t="s">
        <v>271</v>
      </c>
      <c r="F53" s="344" t="str">
        <f>IF(D53&lt;D52,"Does not meet design criteria","")</f>
        <v/>
      </c>
      <c r="G53" s="344"/>
      <c r="H53" s="344"/>
    </row>
    <row r="54" spans="1:16" ht="12.75" customHeight="1" x14ac:dyDescent="0.25">
      <c r="A54" s="236" t="s">
        <v>276</v>
      </c>
      <c r="B54" s="237"/>
      <c r="C54" s="237"/>
      <c r="D54" s="237"/>
      <c r="E54" s="237"/>
      <c r="F54" s="237"/>
      <c r="G54" s="237"/>
      <c r="H54" s="238"/>
    </row>
    <row r="55" spans="1:16" ht="27.75" customHeight="1" x14ac:dyDescent="0.25">
      <c r="A55" s="335" t="s">
        <v>241</v>
      </c>
      <c r="B55" s="335"/>
      <c r="C55" s="9" t="str">
        <f>IF(A32="","",IF(D35="No",0,IF(D37&gt;100,0,IF(D38&gt;150,0,IF(D41="No",0,IF(D42&lt;1,0,IF(D43&lt;14,0,IF(D46&gt;15,0,IF(D47&lt;12,0,IF(D53&lt;D52,0,IF(D44&lt;4,0,IF(D45&gt;5,0,IF(D34="A",(F32*0.4),IF(D34="B",(F32*0.4),IF(D34="C",(F32*0.2),IF(D34="D",(F32*0.2)))))))))))))))))</f>
        <v/>
      </c>
      <c r="D55" s="339" t="s">
        <v>2</v>
      </c>
      <c r="E55" s="340"/>
      <c r="F55" s="340"/>
      <c r="G55" s="340"/>
      <c r="H55" s="341"/>
    </row>
    <row r="56" spans="1:16" ht="27.75" customHeight="1" x14ac:dyDescent="0.25">
      <c r="A56" s="265" t="s">
        <v>74</v>
      </c>
      <c r="B56" s="265"/>
      <c r="C56" s="212" t="str">
        <f>IF(A32="","",IF(C55=0,0,IF(D53&lt;D52,0,F32-C55)))</f>
        <v/>
      </c>
      <c r="D56" s="193" t="s">
        <v>2</v>
      </c>
      <c r="E56" s="242" t="s">
        <v>590</v>
      </c>
      <c r="F56" s="243"/>
      <c r="G56" s="243"/>
      <c r="H56" s="244"/>
    </row>
    <row r="57" spans="1:16" s="34" customFormat="1" ht="13.15" customHeight="1" x14ac:dyDescent="0.3">
      <c r="A57" s="24" t="s">
        <v>56</v>
      </c>
      <c r="B57" s="23" t="str">
        <f>IF('STEP 2-WQv Calculation'!$B$4="","",'STEP 2-WQv Calculation'!$B$4)</f>
        <v/>
      </c>
      <c r="C57" s="31"/>
      <c r="D57" s="31"/>
      <c r="E57" s="32"/>
      <c r="F57" s="33"/>
      <c r="G57" s="33"/>
      <c r="H57" s="33"/>
    </row>
    <row r="58" spans="1:16" ht="15" customHeight="1" x14ac:dyDescent="0.25">
      <c r="A58" s="331" t="s">
        <v>293</v>
      </c>
      <c r="B58" s="332"/>
      <c r="C58" s="332"/>
      <c r="D58" s="332"/>
      <c r="E58" s="332"/>
      <c r="F58" s="332"/>
      <c r="G58" s="332"/>
      <c r="H58" s="333"/>
      <c r="I58" s="255"/>
      <c r="J58" s="256"/>
      <c r="K58" s="256"/>
      <c r="L58" s="256"/>
      <c r="M58" s="256"/>
      <c r="N58" s="256"/>
      <c r="O58" s="49"/>
      <c r="P58" s="12"/>
    </row>
    <row r="59" spans="1:16" s="34" customFormat="1" ht="46.75" customHeight="1" x14ac:dyDescent="0.3">
      <c r="A59" s="204" t="s">
        <v>60</v>
      </c>
      <c r="B59" s="205" t="s">
        <v>61</v>
      </c>
      <c r="C59" s="205" t="s">
        <v>62</v>
      </c>
      <c r="D59" s="205" t="s">
        <v>63</v>
      </c>
      <c r="E59" s="205" t="s">
        <v>64</v>
      </c>
      <c r="F59" s="205" t="s">
        <v>65</v>
      </c>
      <c r="G59" s="205" t="s">
        <v>244</v>
      </c>
      <c r="H59" s="206" t="s">
        <v>13</v>
      </c>
      <c r="I59" s="255"/>
      <c r="J59" s="256"/>
      <c r="K59" s="256"/>
      <c r="L59" s="256"/>
      <c r="M59" s="256"/>
      <c r="N59" s="256"/>
      <c r="O59" s="28"/>
      <c r="P59" s="12"/>
    </row>
    <row r="60" spans="1:16" ht="30.25" customHeight="1" x14ac:dyDescent="0.25">
      <c r="A60" s="17"/>
      <c r="B60" s="18" t="str">
        <f>IF($A60="","",(LOOKUP($A60,'STEP 2-WQv Calculation'!$A$8:$A$37,'STEP 2-WQv Calculation'!$B$8:$B$37)))</f>
        <v/>
      </c>
      <c r="C60" s="18" t="str">
        <f>IF($A60="","",(LOOKUP($A60,'STEP 2-WQv Calculation'!$A$8:$A$37,'STEP 2-WQv Calculation'!$C$8:$C$37)))</f>
        <v/>
      </c>
      <c r="D60" s="53" t="str">
        <f>IF($A60="","",(LOOKUP($A60,'STEP 2-WQv Calculation'!$A$8:$A$37,'STEP 2-WQv Calculation'!$D$8:$D$37)))</f>
        <v/>
      </c>
      <c r="E60" s="18" t="str">
        <f>IF($A60="","",(LOOKUP($A60,'STEP 2-WQv Calculation'!$A$8:$A$37,'STEP 2-WQv Calculation'!$E$8:$E$37)))</f>
        <v/>
      </c>
      <c r="F60" s="42" t="str">
        <f>IF($A60="","",(LOOKUP($A60,'STEP 2-WQv Calculation'!$A$8:$A$37,'STEP 2-WQv Calculation'!$F$8:$F$37)))</f>
        <v/>
      </c>
      <c r="G60" s="18">
        <f>'STEP 2-WQv Calculation'!$B$5</f>
        <v>0</v>
      </c>
      <c r="H60" s="29" t="str">
        <f>IF($A60="","",(LOOKUP($A60,'STEP 2-WQv Calculation'!$A$8:$A$37,'STEP 2-WQv Calculation'!$G$8:$G$37)))</f>
        <v/>
      </c>
      <c r="I60" s="255"/>
      <c r="J60" s="256"/>
      <c r="K60" s="256"/>
      <c r="L60" s="256"/>
      <c r="M60" s="256"/>
      <c r="N60" s="256"/>
      <c r="O60" s="28"/>
      <c r="P60" s="12"/>
    </row>
    <row r="61" spans="1:16" ht="15" customHeight="1" x14ac:dyDescent="0.25">
      <c r="A61" s="236" t="s">
        <v>226</v>
      </c>
      <c r="B61" s="237"/>
      <c r="C61" s="237"/>
      <c r="D61" s="237"/>
      <c r="E61" s="237"/>
      <c r="F61" s="237"/>
      <c r="G61" s="237"/>
      <c r="H61" s="238"/>
      <c r="I61" s="413"/>
      <c r="J61" s="414"/>
      <c r="K61" s="414"/>
      <c r="L61" s="414"/>
      <c r="M61" s="414"/>
      <c r="N61" s="414"/>
      <c r="O61" s="28"/>
      <c r="P61" s="12"/>
    </row>
    <row r="62" spans="1:16" ht="15" customHeight="1" x14ac:dyDescent="0.25">
      <c r="A62" s="354" t="s">
        <v>325</v>
      </c>
      <c r="B62" s="355"/>
      <c r="C62" s="356"/>
      <c r="D62" s="139"/>
      <c r="E62" s="357"/>
      <c r="F62" s="358"/>
      <c r="G62" s="358"/>
      <c r="H62" s="359"/>
    </row>
    <row r="63" spans="1:16" s="1" customFormat="1" ht="14.25" customHeight="1" x14ac:dyDescent="0.35">
      <c r="A63" s="242" t="s">
        <v>591</v>
      </c>
      <c r="B63" s="243"/>
      <c r="C63" s="244"/>
      <c r="D63" s="211"/>
      <c r="E63" s="322" t="str">
        <f>IF(D63="No","Does not meet design criteria","")</f>
        <v/>
      </c>
      <c r="F63" s="323"/>
      <c r="G63" s="323"/>
      <c r="H63" s="324"/>
      <c r="I63" s="4"/>
    </row>
    <row r="64" spans="1:16" s="1" customFormat="1" ht="26.5" customHeight="1" x14ac:dyDescent="0.35">
      <c r="A64" s="242" t="s">
        <v>592</v>
      </c>
      <c r="B64" s="243"/>
      <c r="C64" s="244"/>
      <c r="D64" s="211"/>
      <c r="E64" s="322" t="str">
        <f>IF(D64="Yes","Impermeable liner required","")</f>
        <v/>
      </c>
      <c r="F64" s="323"/>
      <c r="G64" s="323"/>
      <c r="H64" s="324"/>
      <c r="I64" s="4"/>
    </row>
    <row r="65" spans="1:16" s="1" customFormat="1" ht="26.5" customHeight="1" x14ac:dyDescent="0.35">
      <c r="A65" s="242" t="s">
        <v>593</v>
      </c>
      <c r="B65" s="243"/>
      <c r="C65" s="244"/>
      <c r="D65" s="44"/>
      <c r="E65" s="322" t="str">
        <f>IF(D65&gt;100,"Does not meet design criteria","")</f>
        <v/>
      </c>
      <c r="F65" s="323"/>
      <c r="G65" s="323"/>
      <c r="H65" s="324"/>
      <c r="I65" s="4"/>
    </row>
    <row r="66" spans="1:16" s="1" customFormat="1" ht="14.5" customHeight="1" x14ac:dyDescent="0.35">
      <c r="A66" s="242" t="s">
        <v>594</v>
      </c>
      <c r="B66" s="243"/>
      <c r="C66" s="244"/>
      <c r="D66" s="44"/>
      <c r="E66" s="322" t="str">
        <f>IF(D66&gt;150,"Does not meet design criteria","")</f>
        <v/>
      </c>
      <c r="F66" s="323"/>
      <c r="G66" s="323"/>
      <c r="H66" s="324"/>
      <c r="I66" s="4"/>
    </row>
    <row r="67" spans="1:16" s="1" customFormat="1" ht="13.9" customHeight="1" x14ac:dyDescent="0.35">
      <c r="A67" s="242" t="s">
        <v>296</v>
      </c>
      <c r="B67" s="243"/>
      <c r="C67" s="244"/>
      <c r="D67" s="43"/>
      <c r="E67" s="322" t="str">
        <f>IF(D67="","",IF(D67&lt;2,"Impermeable liner required",""))</f>
        <v/>
      </c>
      <c r="F67" s="323"/>
      <c r="G67" s="323"/>
      <c r="H67" s="324"/>
      <c r="I67" s="4"/>
    </row>
    <row r="68" spans="1:16" s="1" customFormat="1" ht="13.9" customHeight="1" x14ac:dyDescent="0.35">
      <c r="A68" s="242" t="s">
        <v>297</v>
      </c>
      <c r="B68" s="243"/>
      <c r="C68" s="244"/>
      <c r="D68" s="43"/>
      <c r="E68" s="322" t="str">
        <f>IF(D68="","",IF(D68&lt;2,"Impermeable liner required",""))</f>
        <v/>
      </c>
      <c r="F68" s="323"/>
      <c r="G68" s="323"/>
      <c r="H68" s="324"/>
      <c r="I68" s="4"/>
    </row>
    <row r="69" spans="1:16" s="1" customFormat="1" ht="26.5" customHeight="1" x14ac:dyDescent="0.35">
      <c r="A69" s="242" t="s">
        <v>595</v>
      </c>
      <c r="B69" s="243"/>
      <c r="C69" s="244"/>
      <c r="D69" s="211"/>
      <c r="E69" s="322" t="str">
        <f>IF(D69="No","Does not meet design criteria","")</f>
        <v/>
      </c>
      <c r="F69" s="323"/>
      <c r="G69" s="323"/>
      <c r="H69" s="324"/>
      <c r="I69" s="4"/>
    </row>
    <row r="70" spans="1:16" s="1" customFormat="1" ht="13.9" customHeight="1" x14ac:dyDescent="0.35">
      <c r="A70" s="242" t="s">
        <v>558</v>
      </c>
      <c r="B70" s="243"/>
      <c r="C70" s="244"/>
      <c r="D70" s="43"/>
      <c r="E70" s="322" t="str">
        <f>IF(D70="","",IF(D70&lt;1,"Does not meet design criteria",""))</f>
        <v/>
      </c>
      <c r="F70" s="323"/>
      <c r="G70" s="323"/>
      <c r="H70" s="324"/>
      <c r="I70" s="4"/>
    </row>
    <row r="71" spans="1:16" s="1" customFormat="1" ht="13.9" customHeight="1" x14ac:dyDescent="0.35">
      <c r="A71" s="242" t="s">
        <v>402</v>
      </c>
      <c r="B71" s="243"/>
      <c r="C71" s="244"/>
      <c r="D71" s="43"/>
      <c r="E71" s="322" t="str">
        <f>IF(D71="","",IF(D71&lt;14,"Does not meet design criteria",""))</f>
        <v/>
      </c>
      <c r="F71" s="323"/>
      <c r="G71" s="323"/>
      <c r="H71" s="324"/>
      <c r="I71" s="4"/>
    </row>
    <row r="72" spans="1:16" s="1" customFormat="1" ht="24.75" customHeight="1" x14ac:dyDescent="0.35">
      <c r="A72" s="242" t="s">
        <v>706</v>
      </c>
      <c r="B72" s="406"/>
      <c r="C72" s="407"/>
      <c r="D72" s="43"/>
      <c r="E72" s="322" t="str">
        <f>IF(D72="","",IF(D72&lt;4,"Does not meet design standards",""))</f>
        <v/>
      </c>
      <c r="F72" s="406"/>
      <c r="G72" s="406"/>
      <c r="H72" s="407"/>
      <c r="I72" s="4"/>
    </row>
    <row r="73" spans="1:16" s="1" customFormat="1" ht="27" customHeight="1" x14ac:dyDescent="0.35">
      <c r="A73" s="242" t="s">
        <v>707</v>
      </c>
      <c r="B73" s="406"/>
      <c r="C73" s="407"/>
      <c r="D73" s="43"/>
      <c r="E73" s="322" t="str">
        <f>IF(D73="","",IF(D73&gt;5,"Does not meet design standards.",""))</f>
        <v/>
      </c>
      <c r="F73" s="406"/>
      <c r="G73" s="406"/>
      <c r="H73" s="407"/>
      <c r="I73" s="4"/>
    </row>
    <row r="74" spans="1:16" s="1" customFormat="1" ht="13.9" customHeight="1" x14ac:dyDescent="0.35">
      <c r="A74" s="242" t="s">
        <v>520</v>
      </c>
      <c r="B74" s="243"/>
      <c r="C74" s="244"/>
      <c r="D74" s="43"/>
      <c r="E74" s="322" t="str">
        <f>IF(D74&gt;15,"Does not meet design criteria","")</f>
        <v/>
      </c>
      <c r="F74" s="323"/>
      <c r="G74" s="323"/>
      <c r="H74" s="324"/>
      <c r="I74" s="4"/>
    </row>
    <row r="75" spans="1:16" s="1" customFormat="1" ht="13.9" customHeight="1" x14ac:dyDescent="0.35">
      <c r="A75" s="242" t="s">
        <v>521</v>
      </c>
      <c r="B75" s="243"/>
      <c r="C75" s="244"/>
      <c r="D75" s="43"/>
      <c r="E75" s="322" t="str">
        <f>IF(D75="","",IF(D75&lt;12,"Does not meet design criteria",""))</f>
        <v/>
      </c>
      <c r="F75" s="323"/>
      <c r="G75" s="323"/>
      <c r="H75" s="324"/>
      <c r="I75" s="4"/>
    </row>
    <row r="76" spans="1:16" ht="15" customHeight="1" x14ac:dyDescent="0.25">
      <c r="A76" s="236" t="s">
        <v>232</v>
      </c>
      <c r="B76" s="237"/>
      <c r="C76" s="237"/>
      <c r="D76" s="237"/>
      <c r="E76" s="237"/>
      <c r="F76" s="237"/>
      <c r="G76" s="237"/>
      <c r="H76" s="238"/>
    </row>
    <row r="77" spans="1:16" s="34" customFormat="1" ht="15" customHeight="1" x14ac:dyDescent="0.3">
      <c r="A77" s="35"/>
      <c r="B77" s="36"/>
      <c r="C77" s="36"/>
      <c r="D77" s="208" t="s">
        <v>256</v>
      </c>
      <c r="E77" s="141" t="s">
        <v>257</v>
      </c>
      <c r="F77" s="375" t="s">
        <v>258</v>
      </c>
      <c r="G77" s="376"/>
      <c r="H77" s="377"/>
      <c r="I77" s="4"/>
      <c r="J77" s="4"/>
      <c r="K77" s="4"/>
      <c r="L77" s="4"/>
      <c r="M77" s="4"/>
      <c r="N77" s="4"/>
      <c r="O77" s="4"/>
      <c r="P77" s="4"/>
    </row>
    <row r="78" spans="1:16" ht="12.75" customHeight="1" x14ac:dyDescent="0.25">
      <c r="A78" s="245" t="s">
        <v>596</v>
      </c>
      <c r="B78" s="245"/>
      <c r="C78" s="159" t="s">
        <v>328</v>
      </c>
      <c r="D78" s="218"/>
      <c r="E78" s="193" t="s">
        <v>329</v>
      </c>
      <c r="F78" s="345" t="s">
        <v>330</v>
      </c>
      <c r="G78" s="345"/>
      <c r="H78" s="345"/>
    </row>
    <row r="79" spans="1:16" ht="12.75" customHeight="1" x14ac:dyDescent="0.25">
      <c r="A79" s="245" t="s">
        <v>597</v>
      </c>
      <c r="B79" s="245"/>
      <c r="C79" s="198" t="s">
        <v>270</v>
      </c>
      <c r="D79" s="218"/>
      <c r="E79" s="192" t="s">
        <v>271</v>
      </c>
      <c r="F79" s="344" t="s">
        <v>721</v>
      </c>
      <c r="G79" s="344"/>
      <c r="H79" s="344"/>
    </row>
    <row r="80" spans="1:16" ht="12.75" customHeight="1" x14ac:dyDescent="0.25">
      <c r="A80" s="245" t="s">
        <v>598</v>
      </c>
      <c r="B80" s="245"/>
      <c r="C80" s="198" t="s">
        <v>599</v>
      </c>
      <c r="D80" s="160" t="str">
        <f>IF(D79="","",IF(ROUND(((43200*D78)/(D79*10)),0)&lt;2,2,ROUND(((43200*D78)/(D79*10)),0)))</f>
        <v/>
      </c>
      <c r="E80" s="192" t="s">
        <v>271</v>
      </c>
      <c r="F80" s="289"/>
      <c r="G80" s="289"/>
      <c r="H80" s="289"/>
    </row>
    <row r="81" spans="1:16" ht="12.75" customHeight="1" x14ac:dyDescent="0.25">
      <c r="A81" s="245" t="s">
        <v>722</v>
      </c>
      <c r="B81" s="245"/>
      <c r="C81" s="198" t="s">
        <v>599</v>
      </c>
      <c r="D81" s="218"/>
      <c r="E81" s="192" t="s">
        <v>271</v>
      </c>
      <c r="F81" s="344" t="str">
        <f>IF(D81&lt;D80,"Does not meet design criteria","")</f>
        <v/>
      </c>
      <c r="G81" s="344"/>
      <c r="H81" s="344"/>
    </row>
    <row r="82" spans="1:16" ht="12.75" customHeight="1" x14ac:dyDescent="0.25">
      <c r="A82" s="236" t="s">
        <v>276</v>
      </c>
      <c r="B82" s="237"/>
      <c r="C82" s="237"/>
      <c r="D82" s="237"/>
      <c r="E82" s="237"/>
      <c r="F82" s="237"/>
      <c r="G82" s="237"/>
      <c r="H82" s="238"/>
    </row>
    <row r="83" spans="1:16" ht="27.75" customHeight="1" x14ac:dyDescent="0.25">
      <c r="A83" s="335" t="s">
        <v>241</v>
      </c>
      <c r="B83" s="335"/>
      <c r="C83" s="9" t="str">
        <f>IF(A60="","",IF(D63="No",0,IF(D65&gt;100,0,IF(D66&gt;150,0,IF(D69="No",0,IF(D70&lt;1,0,IF(D71&lt;14,0,IF(D74&gt;15,0,IF(D75&lt;12,0,IF(D81&lt;D80,0,IF(D72&lt;4,0,IF(D73&gt;5,0,IF(D62="A",(F60*0.4),IF(D62="B",(F60*0.4),IF(D62="C",(F60*0.2),IF(D62="D",(F60*0.2)))))))))))))))))</f>
        <v/>
      </c>
      <c r="D83" s="339" t="s">
        <v>2</v>
      </c>
      <c r="E83" s="340"/>
      <c r="F83" s="340"/>
      <c r="G83" s="340"/>
      <c r="H83" s="341"/>
    </row>
    <row r="84" spans="1:16" ht="27.75" customHeight="1" x14ac:dyDescent="0.25">
      <c r="A84" s="265" t="s">
        <v>74</v>
      </c>
      <c r="B84" s="265"/>
      <c r="C84" s="212" t="str">
        <f>IF(A60="","",IF(C83=0,0,IF(D81&lt;D80,0,F60-C83)))</f>
        <v/>
      </c>
      <c r="D84" s="193" t="s">
        <v>2</v>
      </c>
      <c r="E84" s="242" t="s">
        <v>590</v>
      </c>
      <c r="F84" s="243"/>
      <c r="G84" s="243"/>
      <c r="H84" s="244"/>
    </row>
    <row r="85" spans="1:16" s="34" customFormat="1" ht="13.15" customHeight="1" x14ac:dyDescent="0.3">
      <c r="A85" s="24" t="s">
        <v>56</v>
      </c>
      <c r="B85" s="23" t="str">
        <f>IF('STEP 2-WQv Calculation'!$B$4="","",'STEP 2-WQv Calculation'!$B$4)</f>
        <v/>
      </c>
      <c r="C85" s="31"/>
      <c r="D85" s="31"/>
      <c r="E85" s="32"/>
      <c r="F85" s="33"/>
      <c r="G85" s="33"/>
      <c r="H85" s="33"/>
    </row>
    <row r="86" spans="1:16" ht="15" customHeight="1" x14ac:dyDescent="0.25">
      <c r="A86" s="331" t="s">
        <v>293</v>
      </c>
      <c r="B86" s="332"/>
      <c r="C86" s="332"/>
      <c r="D86" s="332"/>
      <c r="E86" s="332"/>
      <c r="F86" s="332"/>
      <c r="G86" s="332"/>
      <c r="H86" s="333"/>
      <c r="I86" s="255"/>
      <c r="J86" s="256"/>
      <c r="K86" s="256"/>
      <c r="L86" s="256"/>
      <c r="M86" s="256"/>
      <c r="N86" s="256"/>
      <c r="O86" s="49"/>
      <c r="P86" s="12"/>
    </row>
    <row r="87" spans="1:16" s="34" customFormat="1" ht="46.75" customHeight="1" x14ac:dyDescent="0.3">
      <c r="A87" s="204" t="s">
        <v>60</v>
      </c>
      <c r="B87" s="205" t="s">
        <v>61</v>
      </c>
      <c r="C87" s="205" t="s">
        <v>62</v>
      </c>
      <c r="D87" s="205" t="s">
        <v>63</v>
      </c>
      <c r="E87" s="205" t="s">
        <v>64</v>
      </c>
      <c r="F87" s="205" t="s">
        <v>65</v>
      </c>
      <c r="G87" s="205" t="s">
        <v>244</v>
      </c>
      <c r="H87" s="206" t="s">
        <v>13</v>
      </c>
      <c r="I87" s="255"/>
      <c r="J87" s="256"/>
      <c r="K87" s="256"/>
      <c r="L87" s="256"/>
      <c r="M87" s="256"/>
      <c r="N87" s="256"/>
      <c r="O87" s="28"/>
      <c r="P87" s="12"/>
    </row>
    <row r="88" spans="1:16" ht="30.25" customHeight="1" x14ac:dyDescent="0.25">
      <c r="A88" s="17"/>
      <c r="B88" s="18" t="str">
        <f>IF($A88="","",(LOOKUP($A88,'STEP 2-WQv Calculation'!$A$8:$A$37,'STEP 2-WQv Calculation'!$B$8:$B$37)))</f>
        <v/>
      </c>
      <c r="C88" s="18" t="str">
        <f>IF($A88="","",(LOOKUP($A88,'STEP 2-WQv Calculation'!$A$8:$A$37,'STEP 2-WQv Calculation'!$C$8:$C$37)))</f>
        <v/>
      </c>
      <c r="D88" s="53" t="str">
        <f>IF($A88="","",(LOOKUP($A88,'STEP 2-WQv Calculation'!$A$8:$A$37,'STEP 2-WQv Calculation'!$D$8:$D$37)))</f>
        <v/>
      </c>
      <c r="E88" s="18" t="str">
        <f>IF($A88="","",(LOOKUP($A88,'STEP 2-WQv Calculation'!$A$8:$A$37,'STEP 2-WQv Calculation'!$E$8:$E$37)))</f>
        <v/>
      </c>
      <c r="F88" s="42" t="str">
        <f>IF($A88="","",(LOOKUP($A88,'STEP 2-WQv Calculation'!$A$8:$A$37,'STEP 2-WQv Calculation'!$F$8:$F$37)))</f>
        <v/>
      </c>
      <c r="G88" s="18">
        <f>'STEP 2-WQv Calculation'!$B$5</f>
        <v>0</v>
      </c>
      <c r="H88" s="29" t="str">
        <f>IF($A88="","",(LOOKUP($A88,'STEP 2-WQv Calculation'!$A$8:$A$37,'STEP 2-WQv Calculation'!$G$8:$G$37)))</f>
        <v/>
      </c>
      <c r="I88" s="255"/>
      <c r="J88" s="256"/>
      <c r="K88" s="256"/>
      <c r="L88" s="256"/>
      <c r="M88" s="256"/>
      <c r="N88" s="256"/>
      <c r="O88" s="28"/>
      <c r="P88" s="12"/>
    </row>
    <row r="89" spans="1:16" ht="15" customHeight="1" x14ac:dyDescent="0.25">
      <c r="A89" s="236" t="s">
        <v>226</v>
      </c>
      <c r="B89" s="237"/>
      <c r="C89" s="237"/>
      <c r="D89" s="237"/>
      <c r="E89" s="237"/>
      <c r="F89" s="237"/>
      <c r="G89" s="237"/>
      <c r="H89" s="238"/>
      <c r="I89" s="413"/>
      <c r="J89" s="414"/>
      <c r="K89" s="414"/>
      <c r="L89" s="414"/>
      <c r="M89" s="414"/>
      <c r="N89" s="414"/>
      <c r="O89" s="28"/>
      <c r="P89" s="12"/>
    </row>
    <row r="90" spans="1:16" ht="15" customHeight="1" x14ac:dyDescent="0.25">
      <c r="A90" s="354" t="s">
        <v>325</v>
      </c>
      <c r="B90" s="355"/>
      <c r="C90" s="356"/>
      <c r="D90" s="139"/>
      <c r="E90" s="357"/>
      <c r="F90" s="358"/>
      <c r="G90" s="358"/>
      <c r="H90" s="359"/>
    </row>
    <row r="91" spans="1:16" s="1" customFormat="1" ht="14.25" customHeight="1" x14ac:dyDescent="0.35">
      <c r="A91" s="242" t="s">
        <v>591</v>
      </c>
      <c r="B91" s="243"/>
      <c r="C91" s="244"/>
      <c r="D91" s="211"/>
      <c r="E91" s="322" t="str">
        <f>IF(D91="No","Does not meet design criteria","")</f>
        <v/>
      </c>
      <c r="F91" s="323"/>
      <c r="G91" s="323"/>
      <c r="H91" s="324"/>
      <c r="I91" s="4"/>
    </row>
    <row r="92" spans="1:16" s="1" customFormat="1" ht="26.5" customHeight="1" x14ac:dyDescent="0.35">
      <c r="A92" s="242" t="s">
        <v>592</v>
      </c>
      <c r="B92" s="243"/>
      <c r="C92" s="244"/>
      <c r="D92" s="211"/>
      <c r="E92" s="322" t="str">
        <f>IF(D92="Yes","Impermeable liner required","")</f>
        <v/>
      </c>
      <c r="F92" s="323"/>
      <c r="G92" s="323"/>
      <c r="H92" s="324"/>
      <c r="I92" s="4"/>
    </row>
    <row r="93" spans="1:16" s="1" customFormat="1" ht="26.5" customHeight="1" x14ac:dyDescent="0.35">
      <c r="A93" s="242" t="s">
        <v>593</v>
      </c>
      <c r="B93" s="243"/>
      <c r="C93" s="244"/>
      <c r="D93" s="44"/>
      <c r="E93" s="322" t="str">
        <f>IF(D93&gt;100,"Does not meet design criteria","")</f>
        <v/>
      </c>
      <c r="F93" s="323"/>
      <c r="G93" s="323"/>
      <c r="H93" s="324"/>
      <c r="I93" s="4"/>
    </row>
    <row r="94" spans="1:16" s="1" customFormat="1" ht="14.5" customHeight="1" x14ac:dyDescent="0.35">
      <c r="A94" s="242" t="s">
        <v>594</v>
      </c>
      <c r="B94" s="243"/>
      <c r="C94" s="244"/>
      <c r="D94" s="44"/>
      <c r="E94" s="322" t="str">
        <f>IF(D94&gt;150,"Does not meet design criteria","")</f>
        <v/>
      </c>
      <c r="F94" s="323"/>
      <c r="G94" s="323"/>
      <c r="H94" s="324"/>
      <c r="I94" s="4"/>
    </row>
    <row r="95" spans="1:16" s="1" customFormat="1" ht="13.9" customHeight="1" x14ac:dyDescent="0.35">
      <c r="A95" s="242" t="s">
        <v>296</v>
      </c>
      <c r="B95" s="243"/>
      <c r="C95" s="244"/>
      <c r="D95" s="43"/>
      <c r="E95" s="322" t="str">
        <f>IF(D95="","",IF(D95&lt;2,"Impermeable liner required",""))</f>
        <v/>
      </c>
      <c r="F95" s="323"/>
      <c r="G95" s="323"/>
      <c r="H95" s="324"/>
      <c r="I95" s="4"/>
    </row>
    <row r="96" spans="1:16" s="1" customFormat="1" ht="13.9" customHeight="1" x14ac:dyDescent="0.35">
      <c r="A96" s="242" t="s">
        <v>297</v>
      </c>
      <c r="B96" s="243"/>
      <c r="C96" s="244"/>
      <c r="D96" s="43"/>
      <c r="E96" s="322" t="str">
        <f>IF(D96="","",IF(D96&lt;2,"Impermeable liner required",""))</f>
        <v/>
      </c>
      <c r="F96" s="323"/>
      <c r="G96" s="323"/>
      <c r="H96" s="324"/>
      <c r="I96" s="4"/>
    </row>
    <row r="97" spans="1:16" s="1" customFormat="1" ht="26.5" customHeight="1" x14ac:dyDescent="0.35">
      <c r="A97" s="242" t="s">
        <v>595</v>
      </c>
      <c r="B97" s="243"/>
      <c r="C97" s="244"/>
      <c r="D97" s="211"/>
      <c r="E97" s="322" t="str">
        <f>IF(D97="No","Does not meet design criteria","")</f>
        <v/>
      </c>
      <c r="F97" s="323"/>
      <c r="G97" s="323"/>
      <c r="H97" s="324"/>
      <c r="I97" s="4"/>
    </row>
    <row r="98" spans="1:16" s="1" customFormat="1" ht="13.9" customHeight="1" x14ac:dyDescent="0.35">
      <c r="A98" s="242" t="s">
        <v>558</v>
      </c>
      <c r="B98" s="243"/>
      <c r="C98" s="244"/>
      <c r="D98" s="43"/>
      <c r="E98" s="322" t="str">
        <f>IF(D98="","",IF(D98&lt;1,"Does not meet design criteria",""))</f>
        <v/>
      </c>
      <c r="F98" s="323"/>
      <c r="G98" s="323"/>
      <c r="H98" s="324"/>
      <c r="I98" s="4"/>
    </row>
    <row r="99" spans="1:16" s="1" customFormat="1" ht="13.9" customHeight="1" x14ac:dyDescent="0.35">
      <c r="A99" s="242" t="s">
        <v>402</v>
      </c>
      <c r="B99" s="243"/>
      <c r="C99" s="244"/>
      <c r="D99" s="43"/>
      <c r="E99" s="322" t="str">
        <f>IF(D99="","",IF(D99&lt;14,"Does not meet design criteria",""))</f>
        <v/>
      </c>
      <c r="F99" s="323"/>
      <c r="G99" s="323"/>
      <c r="H99" s="324"/>
      <c r="I99" s="4"/>
    </row>
    <row r="100" spans="1:16" s="1" customFormat="1" ht="27.75" customHeight="1" x14ac:dyDescent="0.35">
      <c r="A100" s="242" t="s">
        <v>706</v>
      </c>
      <c r="B100" s="406"/>
      <c r="C100" s="407"/>
      <c r="D100" s="43"/>
      <c r="E100" s="322" t="str">
        <f>IF(D100="","",IF(D100&lt;4,"Does not meet design standards",""))</f>
        <v/>
      </c>
      <c r="F100" s="406"/>
      <c r="G100" s="406"/>
      <c r="H100" s="407"/>
      <c r="I100" s="4"/>
    </row>
    <row r="101" spans="1:16" s="1" customFormat="1" ht="27.75" customHeight="1" x14ac:dyDescent="0.35">
      <c r="A101" s="242" t="s">
        <v>707</v>
      </c>
      <c r="B101" s="406"/>
      <c r="C101" s="407"/>
      <c r="D101" s="43"/>
      <c r="E101" s="322" t="str">
        <f>IF(D101="","",IF(D101&gt;5,"Does not meet design standards.",""))</f>
        <v/>
      </c>
      <c r="F101" s="406"/>
      <c r="G101" s="406"/>
      <c r="H101" s="407"/>
      <c r="I101" s="4"/>
    </row>
    <row r="102" spans="1:16" s="1" customFormat="1" ht="13.9" customHeight="1" x14ac:dyDescent="0.35">
      <c r="A102" s="242" t="s">
        <v>520</v>
      </c>
      <c r="B102" s="243"/>
      <c r="C102" s="244"/>
      <c r="D102" s="43"/>
      <c r="E102" s="322" t="str">
        <f>IF(D102&gt;15,"Does not meet design criteria","")</f>
        <v/>
      </c>
      <c r="F102" s="323"/>
      <c r="G102" s="323"/>
      <c r="H102" s="324"/>
      <c r="I102" s="4"/>
    </row>
    <row r="103" spans="1:16" s="1" customFormat="1" ht="13.9" customHeight="1" x14ac:dyDescent="0.35">
      <c r="A103" s="242" t="s">
        <v>521</v>
      </c>
      <c r="B103" s="243"/>
      <c r="C103" s="244"/>
      <c r="D103" s="43"/>
      <c r="E103" s="322" t="str">
        <f>IF(D103="","",IF(D103&lt;12,"Does not meet design criteria",""))</f>
        <v/>
      </c>
      <c r="F103" s="323"/>
      <c r="G103" s="323"/>
      <c r="H103" s="324"/>
      <c r="I103" s="4"/>
    </row>
    <row r="104" spans="1:16" ht="15" customHeight="1" x14ac:dyDescent="0.25">
      <c r="A104" s="236" t="s">
        <v>232</v>
      </c>
      <c r="B104" s="237"/>
      <c r="C104" s="237"/>
      <c r="D104" s="237"/>
      <c r="E104" s="237"/>
      <c r="F104" s="237"/>
      <c r="G104" s="237"/>
      <c r="H104" s="238"/>
    </row>
    <row r="105" spans="1:16" s="34" customFormat="1" ht="15" customHeight="1" x14ac:dyDescent="0.3">
      <c r="A105" s="35"/>
      <c r="B105" s="36"/>
      <c r="C105" s="36"/>
      <c r="D105" s="208" t="s">
        <v>256</v>
      </c>
      <c r="E105" s="141" t="s">
        <v>257</v>
      </c>
      <c r="F105" s="375" t="s">
        <v>258</v>
      </c>
      <c r="G105" s="376"/>
      <c r="H105" s="377"/>
      <c r="I105" s="4"/>
      <c r="J105" s="4"/>
      <c r="K105" s="4"/>
      <c r="L105" s="4"/>
      <c r="M105" s="4"/>
      <c r="N105" s="4"/>
      <c r="O105" s="4"/>
      <c r="P105" s="4"/>
    </row>
    <row r="106" spans="1:16" ht="12.75" customHeight="1" x14ac:dyDescent="0.25">
      <c r="A106" s="245" t="s">
        <v>596</v>
      </c>
      <c r="B106" s="245"/>
      <c r="C106" s="159" t="s">
        <v>328</v>
      </c>
      <c r="D106" s="218"/>
      <c r="E106" s="193" t="s">
        <v>329</v>
      </c>
      <c r="F106" s="345" t="s">
        <v>330</v>
      </c>
      <c r="G106" s="345"/>
      <c r="H106" s="345"/>
    </row>
    <row r="107" spans="1:16" ht="12.75" customHeight="1" x14ac:dyDescent="0.25">
      <c r="A107" s="245" t="s">
        <v>597</v>
      </c>
      <c r="B107" s="245"/>
      <c r="C107" s="198" t="s">
        <v>270</v>
      </c>
      <c r="D107" s="218"/>
      <c r="E107" s="192" t="s">
        <v>271</v>
      </c>
      <c r="F107" s="344" t="s">
        <v>721</v>
      </c>
      <c r="G107" s="344"/>
      <c r="H107" s="344"/>
    </row>
    <row r="108" spans="1:16" ht="12.75" customHeight="1" x14ac:dyDescent="0.25">
      <c r="A108" s="245" t="s">
        <v>598</v>
      </c>
      <c r="B108" s="245"/>
      <c r="C108" s="198" t="s">
        <v>599</v>
      </c>
      <c r="D108" s="160" t="str">
        <f>IF(D107="","",IF(ROUND(((43200*D106)/(D107*10)),0)&lt;2,2,ROUND(((43200*D106)/(D107*10)),0)))</f>
        <v/>
      </c>
      <c r="E108" s="192" t="s">
        <v>271</v>
      </c>
      <c r="F108" s="289"/>
      <c r="G108" s="289"/>
      <c r="H108" s="289"/>
    </row>
    <row r="109" spans="1:16" ht="12.75" customHeight="1" x14ac:dyDescent="0.25">
      <c r="A109" s="245" t="s">
        <v>722</v>
      </c>
      <c r="B109" s="245"/>
      <c r="C109" s="198" t="s">
        <v>599</v>
      </c>
      <c r="D109" s="218"/>
      <c r="E109" s="192" t="s">
        <v>271</v>
      </c>
      <c r="F109" s="344" t="str">
        <f>IF(D109&lt;D108,"Does not meet design criteria","")</f>
        <v/>
      </c>
      <c r="G109" s="344"/>
      <c r="H109" s="344"/>
    </row>
    <row r="110" spans="1:16" ht="12.75" customHeight="1" x14ac:dyDescent="0.25">
      <c r="A110" s="236" t="s">
        <v>276</v>
      </c>
      <c r="B110" s="237"/>
      <c r="C110" s="237"/>
      <c r="D110" s="237"/>
      <c r="E110" s="237"/>
      <c r="F110" s="237"/>
      <c r="G110" s="237"/>
      <c r="H110" s="238"/>
    </row>
    <row r="111" spans="1:16" ht="27.75" customHeight="1" x14ac:dyDescent="0.25">
      <c r="A111" s="335" t="s">
        <v>241</v>
      </c>
      <c r="B111" s="335"/>
      <c r="C111" s="9" t="str">
        <f>IF(A88="","",IF(D91="No",0,IF(D93&gt;100,0,IF(D94&gt;150,0,IF(D97="No",0,IF(D98&lt;1,0,IF(D99&lt;14,0,IF(D102&gt;15,0,IF(D103&lt;12,0,IF(D109&lt;D108,0,IF(D100&lt;4,0,IF(D101&gt;5,0,IF(D90="A",(F88*0.4),IF(D90="B",(F88*0.4),IF(D90="C",(F88*0.2),IF(D90="D",(F88*0.2)))))))))))))))))</f>
        <v/>
      </c>
      <c r="D111" s="339" t="s">
        <v>2</v>
      </c>
      <c r="E111" s="340"/>
      <c r="F111" s="340"/>
      <c r="G111" s="340"/>
      <c r="H111" s="341"/>
    </row>
    <row r="112" spans="1:16" ht="27.75" customHeight="1" x14ac:dyDescent="0.25">
      <c r="A112" s="265" t="s">
        <v>74</v>
      </c>
      <c r="B112" s="265"/>
      <c r="C112" s="212" t="str">
        <f>IF(A88="","",IF(C111=0,0,IF(D109&lt;D108,0,F88-C111)))</f>
        <v/>
      </c>
      <c r="D112" s="193" t="s">
        <v>2</v>
      </c>
      <c r="E112" s="242" t="s">
        <v>590</v>
      </c>
      <c r="F112" s="243"/>
      <c r="G112" s="243"/>
      <c r="H112" s="244"/>
    </row>
    <row r="113" spans="1:16" s="34" customFormat="1" ht="13.15" customHeight="1" x14ac:dyDescent="0.3">
      <c r="A113" s="24" t="s">
        <v>56</v>
      </c>
      <c r="B113" s="23" t="str">
        <f>IF('STEP 2-WQv Calculation'!$B$4="","",'STEP 2-WQv Calculation'!$B$4)</f>
        <v/>
      </c>
      <c r="C113" s="31"/>
      <c r="D113" s="31"/>
      <c r="E113" s="32"/>
      <c r="F113" s="33"/>
      <c r="G113" s="33"/>
      <c r="H113" s="33"/>
    </row>
    <row r="114" spans="1:16" ht="15" customHeight="1" x14ac:dyDescent="0.25">
      <c r="A114" s="331" t="s">
        <v>293</v>
      </c>
      <c r="B114" s="332"/>
      <c r="C114" s="332"/>
      <c r="D114" s="332"/>
      <c r="E114" s="332"/>
      <c r="F114" s="332"/>
      <c r="G114" s="332"/>
      <c r="H114" s="333"/>
      <c r="I114" s="255"/>
      <c r="J114" s="256"/>
      <c r="K114" s="256"/>
      <c r="L114" s="256"/>
      <c r="M114" s="256"/>
      <c r="N114" s="256"/>
      <c r="O114" s="49"/>
      <c r="P114" s="12"/>
    </row>
    <row r="115" spans="1:16" s="34" customFormat="1" ht="46.75" customHeight="1" x14ac:dyDescent="0.3">
      <c r="A115" s="204" t="s">
        <v>60</v>
      </c>
      <c r="B115" s="205" t="s">
        <v>61</v>
      </c>
      <c r="C115" s="205" t="s">
        <v>62</v>
      </c>
      <c r="D115" s="205" t="s">
        <v>63</v>
      </c>
      <c r="E115" s="205" t="s">
        <v>64</v>
      </c>
      <c r="F115" s="205" t="s">
        <v>65</v>
      </c>
      <c r="G115" s="205" t="s">
        <v>244</v>
      </c>
      <c r="H115" s="206" t="s">
        <v>13</v>
      </c>
      <c r="I115" s="255"/>
      <c r="J115" s="256"/>
      <c r="K115" s="256"/>
      <c r="L115" s="256"/>
      <c r="M115" s="256"/>
      <c r="N115" s="256"/>
      <c r="O115" s="28"/>
      <c r="P115" s="12"/>
    </row>
    <row r="116" spans="1:16" ht="30.25" customHeight="1" x14ac:dyDescent="0.25">
      <c r="A116" s="17"/>
      <c r="B116" s="18" t="str">
        <f>IF($A116="","",(LOOKUP($A116,'STEP 2-WQv Calculation'!$A$8:$A$37,'STEP 2-WQv Calculation'!$B$8:$B$37)))</f>
        <v/>
      </c>
      <c r="C116" s="18" t="str">
        <f>IF($A116="","",(LOOKUP($A116,'STEP 2-WQv Calculation'!$A$8:$A$37,'STEP 2-WQv Calculation'!$C$8:$C$37)))</f>
        <v/>
      </c>
      <c r="D116" s="53" t="str">
        <f>IF($A116="","",(LOOKUP($A116,'STEP 2-WQv Calculation'!$A$8:$A$37,'STEP 2-WQv Calculation'!$D$8:$D$37)))</f>
        <v/>
      </c>
      <c r="E116" s="18" t="str">
        <f>IF($A116="","",(LOOKUP($A116,'STEP 2-WQv Calculation'!$A$8:$A$37,'STEP 2-WQv Calculation'!$E$8:$E$37)))</f>
        <v/>
      </c>
      <c r="F116" s="42" t="str">
        <f>IF($A116="","",(LOOKUP($A116,'STEP 2-WQv Calculation'!$A$8:$A$37,'STEP 2-WQv Calculation'!$F$8:$F$37)))</f>
        <v/>
      </c>
      <c r="G116" s="18">
        <f>'STEP 2-WQv Calculation'!$B$5</f>
        <v>0</v>
      </c>
      <c r="H116" s="29" t="str">
        <f>IF($A116="","",(LOOKUP($A116,'STEP 2-WQv Calculation'!$A$8:$A$37,'STEP 2-WQv Calculation'!$G$8:$G$37)))</f>
        <v/>
      </c>
      <c r="I116" s="255"/>
      <c r="J116" s="256"/>
      <c r="K116" s="256"/>
      <c r="L116" s="256"/>
      <c r="M116" s="256"/>
      <c r="N116" s="256"/>
      <c r="O116" s="28"/>
      <c r="P116" s="12"/>
    </row>
    <row r="117" spans="1:16" ht="15" customHeight="1" x14ac:dyDescent="0.25">
      <c r="A117" s="236" t="s">
        <v>226</v>
      </c>
      <c r="B117" s="237"/>
      <c r="C117" s="237"/>
      <c r="D117" s="237"/>
      <c r="E117" s="237"/>
      <c r="F117" s="237"/>
      <c r="G117" s="237"/>
      <c r="H117" s="238"/>
      <c r="I117" s="413"/>
      <c r="J117" s="414"/>
      <c r="K117" s="414"/>
      <c r="L117" s="414"/>
      <c r="M117" s="414"/>
      <c r="N117" s="414"/>
      <c r="O117" s="28"/>
      <c r="P117" s="12"/>
    </row>
    <row r="118" spans="1:16" ht="15" customHeight="1" x14ac:dyDescent="0.25">
      <c r="A118" s="354" t="s">
        <v>325</v>
      </c>
      <c r="B118" s="355"/>
      <c r="C118" s="356"/>
      <c r="D118" s="139"/>
      <c r="E118" s="357"/>
      <c r="F118" s="358"/>
      <c r="G118" s="358"/>
      <c r="H118" s="359"/>
    </row>
    <row r="119" spans="1:16" s="1" customFormat="1" ht="14.25" customHeight="1" x14ac:dyDescent="0.35">
      <c r="A119" s="242" t="s">
        <v>591</v>
      </c>
      <c r="B119" s="243"/>
      <c r="C119" s="244"/>
      <c r="D119" s="211"/>
      <c r="E119" s="322" t="str">
        <f>IF(D119="No","Does not meet design criteria","")</f>
        <v/>
      </c>
      <c r="F119" s="323"/>
      <c r="G119" s="323"/>
      <c r="H119" s="324"/>
      <c r="I119" s="4"/>
    </row>
    <row r="120" spans="1:16" s="1" customFormat="1" ht="26.5" customHeight="1" x14ac:dyDescent="0.35">
      <c r="A120" s="242" t="s">
        <v>592</v>
      </c>
      <c r="B120" s="243"/>
      <c r="C120" s="244"/>
      <c r="D120" s="211"/>
      <c r="E120" s="322" t="str">
        <f>IF(D120="Yes","Impermeable liner required","")</f>
        <v/>
      </c>
      <c r="F120" s="323"/>
      <c r="G120" s="323"/>
      <c r="H120" s="324"/>
      <c r="I120" s="4"/>
    </row>
    <row r="121" spans="1:16" s="1" customFormat="1" ht="26.5" customHeight="1" x14ac:dyDescent="0.35">
      <c r="A121" s="242" t="s">
        <v>593</v>
      </c>
      <c r="B121" s="243"/>
      <c r="C121" s="244"/>
      <c r="D121" s="44"/>
      <c r="E121" s="322" t="str">
        <f>IF(D121&gt;100,"Does not meet design criteria","")</f>
        <v/>
      </c>
      <c r="F121" s="323"/>
      <c r="G121" s="323"/>
      <c r="H121" s="324"/>
      <c r="I121" s="4"/>
    </row>
    <row r="122" spans="1:16" s="1" customFormat="1" ht="14.5" customHeight="1" x14ac:dyDescent="0.35">
      <c r="A122" s="242" t="s">
        <v>594</v>
      </c>
      <c r="B122" s="243"/>
      <c r="C122" s="244"/>
      <c r="D122" s="44"/>
      <c r="E122" s="322" t="str">
        <f>IF(D122&gt;150,"Does not meet design criteria","")</f>
        <v/>
      </c>
      <c r="F122" s="323"/>
      <c r="G122" s="323"/>
      <c r="H122" s="324"/>
      <c r="I122" s="4"/>
    </row>
    <row r="123" spans="1:16" s="1" customFormat="1" ht="13.9" customHeight="1" x14ac:dyDescent="0.35">
      <c r="A123" s="242" t="s">
        <v>296</v>
      </c>
      <c r="B123" s="243"/>
      <c r="C123" s="244"/>
      <c r="D123" s="43"/>
      <c r="E123" s="322" t="str">
        <f>IF(D123="","",IF(D123&lt;2,"Impermeable liner required",""))</f>
        <v/>
      </c>
      <c r="F123" s="323"/>
      <c r="G123" s="323"/>
      <c r="H123" s="324"/>
      <c r="I123" s="4"/>
    </row>
    <row r="124" spans="1:16" s="1" customFormat="1" ht="13.9" customHeight="1" x14ac:dyDescent="0.35">
      <c r="A124" s="242" t="s">
        <v>297</v>
      </c>
      <c r="B124" s="243"/>
      <c r="C124" s="244"/>
      <c r="D124" s="43"/>
      <c r="E124" s="322" t="str">
        <f>IF(D124="","",IF(D124&lt;2,"Impermeable liner required",""))</f>
        <v/>
      </c>
      <c r="F124" s="323"/>
      <c r="G124" s="323"/>
      <c r="H124" s="324"/>
      <c r="I124" s="4"/>
    </row>
    <row r="125" spans="1:16" s="1" customFormat="1" ht="26.5" customHeight="1" x14ac:dyDescent="0.35">
      <c r="A125" s="242" t="s">
        <v>595</v>
      </c>
      <c r="B125" s="243"/>
      <c r="C125" s="244"/>
      <c r="D125" s="211"/>
      <c r="E125" s="322" t="str">
        <f>IF(D125="No","Does not meet design criteria","")</f>
        <v/>
      </c>
      <c r="F125" s="323"/>
      <c r="G125" s="323"/>
      <c r="H125" s="324"/>
      <c r="I125" s="4"/>
    </row>
    <row r="126" spans="1:16" s="1" customFormat="1" ht="13.9" customHeight="1" x14ac:dyDescent="0.35">
      <c r="A126" s="242" t="s">
        <v>558</v>
      </c>
      <c r="B126" s="243"/>
      <c r="C126" s="244"/>
      <c r="D126" s="43"/>
      <c r="E126" s="322" t="str">
        <f>IF(D126="","",IF(D126&lt;1,"Does not meet design criteria",""))</f>
        <v/>
      </c>
      <c r="F126" s="323"/>
      <c r="G126" s="323"/>
      <c r="H126" s="324"/>
      <c r="I126" s="4"/>
    </row>
    <row r="127" spans="1:16" s="1" customFormat="1" ht="13.9" customHeight="1" x14ac:dyDescent="0.35">
      <c r="A127" s="242" t="s">
        <v>402</v>
      </c>
      <c r="B127" s="243"/>
      <c r="C127" s="244"/>
      <c r="D127" s="43"/>
      <c r="E127" s="322" t="str">
        <f>IF(D127="","",IF(D127&lt;14,"Does not meet design criteria",""))</f>
        <v/>
      </c>
      <c r="F127" s="323"/>
      <c r="G127" s="323"/>
      <c r="H127" s="324"/>
      <c r="I127" s="4"/>
    </row>
    <row r="128" spans="1:16" s="1" customFormat="1" ht="28.5" customHeight="1" x14ac:dyDescent="0.35">
      <c r="A128" s="242" t="s">
        <v>706</v>
      </c>
      <c r="B128" s="406"/>
      <c r="C128" s="407"/>
      <c r="D128" s="43"/>
      <c r="E128" s="322" t="str">
        <f>IF(D128="","",IF(D128&lt;4,"Does not meet design standards",""))</f>
        <v/>
      </c>
      <c r="F128" s="406"/>
      <c r="G128" s="406"/>
      <c r="H128" s="407"/>
      <c r="I128" s="4"/>
    </row>
    <row r="129" spans="1:16" s="1" customFormat="1" ht="27.75" customHeight="1" x14ac:dyDescent="0.35">
      <c r="A129" s="242" t="s">
        <v>707</v>
      </c>
      <c r="B129" s="406"/>
      <c r="C129" s="407"/>
      <c r="D129" s="43"/>
      <c r="E129" s="322" t="str">
        <f>IF(D129="","",IF(D129&gt;5,"Does not meet design standards.",""))</f>
        <v/>
      </c>
      <c r="F129" s="406"/>
      <c r="G129" s="406"/>
      <c r="H129" s="407"/>
      <c r="I129" s="4"/>
    </row>
    <row r="130" spans="1:16" s="1" customFormat="1" ht="13.9" customHeight="1" x14ac:dyDescent="0.35">
      <c r="A130" s="242" t="s">
        <v>520</v>
      </c>
      <c r="B130" s="243"/>
      <c r="C130" s="244"/>
      <c r="D130" s="43"/>
      <c r="E130" s="322" t="str">
        <f>IF(D130&gt;15,"Does not meet design criteria","")</f>
        <v/>
      </c>
      <c r="F130" s="323"/>
      <c r="G130" s="323"/>
      <c r="H130" s="324"/>
      <c r="I130" s="4"/>
    </row>
    <row r="131" spans="1:16" s="1" customFormat="1" ht="13.9" customHeight="1" x14ac:dyDescent="0.35">
      <c r="A131" s="242" t="s">
        <v>521</v>
      </c>
      <c r="B131" s="243"/>
      <c r="C131" s="244"/>
      <c r="D131" s="43"/>
      <c r="E131" s="322" t="str">
        <f>IF(D131="","",IF(D131&lt;12,"Does not meet design criteria",""))</f>
        <v/>
      </c>
      <c r="F131" s="323"/>
      <c r="G131" s="323"/>
      <c r="H131" s="324"/>
      <c r="I131" s="4"/>
    </row>
    <row r="132" spans="1:16" ht="15" customHeight="1" x14ac:dyDescent="0.25">
      <c r="A132" s="236" t="s">
        <v>232</v>
      </c>
      <c r="B132" s="237"/>
      <c r="C132" s="237"/>
      <c r="D132" s="237"/>
      <c r="E132" s="237"/>
      <c r="F132" s="237"/>
      <c r="G132" s="237"/>
      <c r="H132" s="238"/>
    </row>
    <row r="133" spans="1:16" s="34" customFormat="1" ht="15" customHeight="1" x14ac:dyDescent="0.3">
      <c r="A133" s="35"/>
      <c r="B133" s="36"/>
      <c r="C133" s="36"/>
      <c r="D133" s="208" t="s">
        <v>256</v>
      </c>
      <c r="E133" s="141" t="s">
        <v>257</v>
      </c>
      <c r="F133" s="375" t="s">
        <v>258</v>
      </c>
      <c r="G133" s="376"/>
      <c r="H133" s="377"/>
      <c r="I133" s="4"/>
      <c r="J133" s="4"/>
      <c r="K133" s="4"/>
      <c r="L133" s="4"/>
      <c r="M133" s="4"/>
      <c r="N133" s="4"/>
      <c r="O133" s="4"/>
      <c r="P133" s="4"/>
    </row>
    <row r="134" spans="1:16" ht="12.75" customHeight="1" x14ac:dyDescent="0.25">
      <c r="A134" s="245" t="s">
        <v>596</v>
      </c>
      <c r="B134" s="245"/>
      <c r="C134" s="159" t="s">
        <v>328</v>
      </c>
      <c r="D134" s="218"/>
      <c r="E134" s="193" t="s">
        <v>329</v>
      </c>
      <c r="F134" s="345" t="s">
        <v>330</v>
      </c>
      <c r="G134" s="345"/>
      <c r="H134" s="345"/>
    </row>
    <row r="135" spans="1:16" ht="12.75" customHeight="1" x14ac:dyDescent="0.25">
      <c r="A135" s="245" t="s">
        <v>597</v>
      </c>
      <c r="B135" s="245"/>
      <c r="C135" s="198" t="s">
        <v>270</v>
      </c>
      <c r="D135" s="218"/>
      <c r="E135" s="192" t="s">
        <v>271</v>
      </c>
      <c r="F135" s="344" t="s">
        <v>721</v>
      </c>
      <c r="G135" s="344"/>
      <c r="H135" s="344"/>
    </row>
    <row r="136" spans="1:16" ht="12.75" customHeight="1" x14ac:dyDescent="0.25">
      <c r="A136" s="245" t="s">
        <v>598</v>
      </c>
      <c r="B136" s="245"/>
      <c r="C136" s="198" t="s">
        <v>599</v>
      </c>
      <c r="D136" s="160" t="str">
        <f>IF(D135="","",IF(ROUND(((43200*D134)/(D135*10)),0)&lt;2,2,ROUND(((43200*D134)/(D135*10)),0)))</f>
        <v/>
      </c>
      <c r="E136" s="192" t="s">
        <v>271</v>
      </c>
      <c r="F136" s="289"/>
      <c r="G136" s="289"/>
      <c r="H136" s="289"/>
    </row>
    <row r="137" spans="1:16" ht="12.75" customHeight="1" x14ac:dyDescent="0.25">
      <c r="A137" s="245" t="s">
        <v>722</v>
      </c>
      <c r="B137" s="245"/>
      <c r="C137" s="198" t="s">
        <v>599</v>
      </c>
      <c r="D137" s="218"/>
      <c r="E137" s="192" t="s">
        <v>271</v>
      </c>
      <c r="F137" s="344" t="str">
        <f>IF(D137&lt;D136,"Does not meet design criteria","")</f>
        <v/>
      </c>
      <c r="G137" s="344"/>
      <c r="H137" s="344"/>
    </row>
    <row r="138" spans="1:16" ht="12.75" customHeight="1" x14ac:dyDescent="0.25">
      <c r="A138" s="236" t="s">
        <v>276</v>
      </c>
      <c r="B138" s="237"/>
      <c r="C138" s="237"/>
      <c r="D138" s="237"/>
      <c r="E138" s="237"/>
      <c r="F138" s="237"/>
      <c r="G138" s="237"/>
      <c r="H138" s="238"/>
    </row>
    <row r="139" spans="1:16" ht="27.75" customHeight="1" x14ac:dyDescent="0.25">
      <c r="A139" s="335" t="s">
        <v>241</v>
      </c>
      <c r="B139" s="335"/>
      <c r="C139" s="9" t="str">
        <f>IF(A116="","",IF(D119="No",0,IF(D121&gt;100,0,IF(D122&gt;150,0,IF(D125="No",0,IF(D126&lt;1,0,IF(D127&lt;14,0,IF(D130&gt;15,0,IF(D131&lt;12,0,IF(D137&lt;D136,0,IF(D128&lt;4,0,IF(D129&gt;5,0,IF(D118="A",(F116*0.4),IF(D118="B",(F116*0.4),IF(D118="C",(F116*0.2),IF(D118="D",(F116*0.2)))))))))))))))))</f>
        <v/>
      </c>
      <c r="D139" s="339" t="s">
        <v>2</v>
      </c>
      <c r="E139" s="340"/>
      <c r="F139" s="340"/>
      <c r="G139" s="340"/>
      <c r="H139" s="341"/>
    </row>
    <row r="140" spans="1:16" ht="27.75" customHeight="1" x14ac:dyDescent="0.25">
      <c r="A140" s="265" t="s">
        <v>74</v>
      </c>
      <c r="B140" s="265"/>
      <c r="C140" s="212" t="str">
        <f>IF(A116="","",IF(C139=0,0,IF(D137&lt;D136,0,F116-C139)))</f>
        <v/>
      </c>
      <c r="D140" s="193" t="s">
        <v>2</v>
      </c>
      <c r="E140" s="242" t="s">
        <v>590</v>
      </c>
      <c r="F140" s="243"/>
      <c r="G140" s="243"/>
      <c r="H140" s="244"/>
    </row>
    <row r="141" spans="1:16" ht="13" x14ac:dyDescent="0.3">
      <c r="A141" s="24" t="s">
        <v>56</v>
      </c>
      <c r="B141" s="23" t="str">
        <f>IF('STEP 2-WQv Calculation'!$B$4="","",'STEP 2-WQv Calculation'!$B$4)</f>
        <v/>
      </c>
      <c r="C141" s="31"/>
      <c r="D141" s="31"/>
      <c r="E141" s="32"/>
      <c r="F141" s="33"/>
      <c r="G141" s="33"/>
      <c r="H141" s="33"/>
    </row>
    <row r="142" spans="1:16" ht="13" x14ac:dyDescent="0.25">
      <c r="A142" s="331" t="s">
        <v>293</v>
      </c>
      <c r="B142" s="332"/>
      <c r="C142" s="332"/>
      <c r="D142" s="332"/>
      <c r="E142" s="332"/>
      <c r="F142" s="332"/>
      <c r="G142" s="332"/>
      <c r="H142" s="333"/>
    </row>
    <row r="143" spans="1:16" ht="38.5" x14ac:dyDescent="0.25">
      <c r="A143" s="204" t="s">
        <v>60</v>
      </c>
      <c r="B143" s="205" t="s">
        <v>61</v>
      </c>
      <c r="C143" s="205" t="s">
        <v>62</v>
      </c>
      <c r="D143" s="205" t="s">
        <v>63</v>
      </c>
      <c r="E143" s="205" t="s">
        <v>64</v>
      </c>
      <c r="F143" s="205" t="s">
        <v>65</v>
      </c>
      <c r="G143" s="205" t="s">
        <v>244</v>
      </c>
      <c r="H143" s="206" t="s">
        <v>13</v>
      </c>
    </row>
    <row r="144" spans="1:16" x14ac:dyDescent="0.25">
      <c r="A144" s="17"/>
      <c r="B144" s="18" t="str">
        <f>IF($A144="","",(LOOKUP($A144,'STEP 2-WQv Calculation'!$A$8:$A$37,'STEP 2-WQv Calculation'!$B$8:$B$37)))</f>
        <v/>
      </c>
      <c r="C144" s="18" t="str">
        <f>IF($A144="","",(LOOKUP($A144,'STEP 2-WQv Calculation'!$A$8:$A$37,'STEP 2-WQv Calculation'!$C$8:$C$37)))</f>
        <v/>
      </c>
      <c r="D144" s="53" t="str">
        <f>IF($A144="","",(LOOKUP($A144,'STEP 2-WQv Calculation'!$A$8:$A$37,'STEP 2-WQv Calculation'!$D$8:$D$37)))</f>
        <v/>
      </c>
      <c r="E144" s="18" t="str">
        <f>IF($A144="","",(LOOKUP($A144,'STEP 2-WQv Calculation'!$A$8:$A$37,'STEP 2-WQv Calculation'!$E$8:$E$37)))</f>
        <v/>
      </c>
      <c r="F144" s="42" t="str">
        <f>IF($A144="","",(LOOKUP($A144,'STEP 2-WQv Calculation'!$A$8:$A$37,'STEP 2-WQv Calculation'!$F$8:$F$37)))</f>
        <v/>
      </c>
      <c r="G144" s="18">
        <f>'STEP 2-WQv Calculation'!$B$5</f>
        <v>0</v>
      </c>
      <c r="H144" s="29" t="str">
        <f>IF($A144="","",(LOOKUP($A144,'STEP 2-WQv Calculation'!$A$8:$A$37,'STEP 2-WQv Calculation'!$G$8:$G$37)))</f>
        <v/>
      </c>
    </row>
    <row r="145" spans="1:8" ht="13" x14ac:dyDescent="0.25">
      <c r="A145" s="236" t="s">
        <v>226</v>
      </c>
      <c r="B145" s="237"/>
      <c r="C145" s="237"/>
      <c r="D145" s="237"/>
      <c r="E145" s="237"/>
      <c r="F145" s="237"/>
      <c r="G145" s="237"/>
      <c r="H145" s="238"/>
    </row>
    <row r="146" spans="1:8" x14ac:dyDescent="0.25">
      <c r="A146" s="354" t="s">
        <v>325</v>
      </c>
      <c r="B146" s="355"/>
      <c r="C146" s="356"/>
      <c r="D146" s="139"/>
      <c r="E146" s="357"/>
      <c r="F146" s="358"/>
      <c r="G146" s="358"/>
      <c r="H146" s="359"/>
    </row>
    <row r="147" spans="1:8" x14ac:dyDescent="0.25">
      <c r="A147" s="242" t="s">
        <v>591</v>
      </c>
      <c r="B147" s="243"/>
      <c r="C147" s="244"/>
      <c r="D147" s="211"/>
      <c r="E147" s="322" t="str">
        <f>IF(D147="No","Does not meet design criteria","")</f>
        <v/>
      </c>
      <c r="F147" s="323"/>
      <c r="G147" s="323"/>
      <c r="H147" s="324"/>
    </row>
    <row r="148" spans="1:8" x14ac:dyDescent="0.25">
      <c r="A148" s="242" t="s">
        <v>592</v>
      </c>
      <c r="B148" s="243"/>
      <c r="C148" s="244"/>
      <c r="D148" s="211"/>
      <c r="E148" s="322" t="str">
        <f>IF(D148="Yes","Impermeable liner required","")</f>
        <v/>
      </c>
      <c r="F148" s="323"/>
      <c r="G148" s="323"/>
      <c r="H148" s="324"/>
    </row>
    <row r="149" spans="1:8" x14ac:dyDescent="0.25">
      <c r="A149" s="242" t="s">
        <v>593</v>
      </c>
      <c r="B149" s="243"/>
      <c r="C149" s="244"/>
      <c r="D149" s="44"/>
      <c r="E149" s="322" t="str">
        <f>IF(D149&gt;100,"Does not meet design criteria","")</f>
        <v/>
      </c>
      <c r="F149" s="323"/>
      <c r="G149" s="323"/>
      <c r="H149" s="324"/>
    </row>
    <row r="150" spans="1:8" x14ac:dyDescent="0.25">
      <c r="A150" s="242" t="s">
        <v>594</v>
      </c>
      <c r="B150" s="243"/>
      <c r="C150" s="244"/>
      <c r="D150" s="44"/>
      <c r="E150" s="322" t="str">
        <f>IF(D150&gt;150,"Does not meet design criteria","")</f>
        <v/>
      </c>
      <c r="F150" s="323"/>
      <c r="G150" s="323"/>
      <c r="H150" s="324"/>
    </row>
    <row r="151" spans="1:8" x14ac:dyDescent="0.25">
      <c r="A151" s="242" t="s">
        <v>296</v>
      </c>
      <c r="B151" s="243"/>
      <c r="C151" s="244"/>
      <c r="D151" s="43"/>
      <c r="E151" s="322" t="str">
        <f>IF(D151="","",IF(D151&lt;2,"Impermeable liner required",""))</f>
        <v/>
      </c>
      <c r="F151" s="323"/>
      <c r="G151" s="323"/>
      <c r="H151" s="324"/>
    </row>
    <row r="152" spans="1:8" x14ac:dyDescent="0.25">
      <c r="A152" s="242" t="s">
        <v>297</v>
      </c>
      <c r="B152" s="243"/>
      <c r="C152" s="244"/>
      <c r="D152" s="43"/>
      <c r="E152" s="322" t="str">
        <f>IF(D152="","",IF(D152&lt;2,"Impermeable liner required",""))</f>
        <v/>
      </c>
      <c r="F152" s="323"/>
      <c r="G152" s="323"/>
      <c r="H152" s="324"/>
    </row>
    <row r="153" spans="1:8" x14ac:dyDescent="0.25">
      <c r="A153" s="242" t="s">
        <v>595</v>
      </c>
      <c r="B153" s="243"/>
      <c r="C153" s="244"/>
      <c r="D153" s="211"/>
      <c r="E153" s="322" t="str">
        <f>IF(D153="No","Does not meet design criteria","")</f>
        <v/>
      </c>
      <c r="F153" s="323"/>
      <c r="G153" s="323"/>
      <c r="H153" s="324"/>
    </row>
    <row r="154" spans="1:8" x14ac:dyDescent="0.25">
      <c r="A154" s="242" t="s">
        <v>558</v>
      </c>
      <c r="B154" s="243"/>
      <c r="C154" s="244"/>
      <c r="D154" s="43"/>
      <c r="E154" s="322" t="str">
        <f>IF(D154="","",IF(D154&lt;1,"Does not meet design criteria",""))</f>
        <v/>
      </c>
      <c r="F154" s="323"/>
      <c r="G154" s="323"/>
      <c r="H154" s="324"/>
    </row>
    <row r="155" spans="1:8" x14ac:dyDescent="0.25">
      <c r="A155" s="242" t="s">
        <v>402</v>
      </c>
      <c r="B155" s="243"/>
      <c r="C155" s="244"/>
      <c r="D155" s="43"/>
      <c r="E155" s="322" t="str">
        <f>IF(D155="","",IF(D155&lt;14,"Does not meet design criteria",""))</f>
        <v/>
      </c>
      <c r="F155" s="323"/>
      <c r="G155" s="323"/>
      <c r="H155" s="324"/>
    </row>
    <row r="156" spans="1:8" ht="24" customHeight="1" x14ac:dyDescent="0.25">
      <c r="A156" s="242" t="s">
        <v>706</v>
      </c>
      <c r="B156" s="406"/>
      <c r="C156" s="407"/>
      <c r="D156" s="43"/>
      <c r="E156" s="322" t="str">
        <f>IF(D156="","",IF(D156&lt;4,"Does not meet design standards",""))</f>
        <v/>
      </c>
      <c r="F156" s="406"/>
      <c r="G156" s="406"/>
      <c r="H156" s="407"/>
    </row>
    <row r="157" spans="1:8" ht="24" customHeight="1" x14ac:dyDescent="0.25">
      <c r="A157" s="242" t="s">
        <v>707</v>
      </c>
      <c r="B157" s="406"/>
      <c r="C157" s="407"/>
      <c r="D157" s="43"/>
      <c r="E157" s="322" t="str">
        <f>IF(D157="","",IF(D157&gt;5,"Does not meet design standards.",""))</f>
        <v/>
      </c>
      <c r="F157" s="406"/>
      <c r="G157" s="406"/>
      <c r="H157" s="407"/>
    </row>
    <row r="158" spans="1:8" x14ac:dyDescent="0.25">
      <c r="A158" s="242" t="s">
        <v>520</v>
      </c>
      <c r="B158" s="243"/>
      <c r="C158" s="244"/>
      <c r="D158" s="43"/>
      <c r="E158" s="322" t="str">
        <f>IF(D158&gt;15,"Does not meet design criteria","")</f>
        <v/>
      </c>
      <c r="F158" s="323"/>
      <c r="G158" s="323"/>
      <c r="H158" s="324"/>
    </row>
    <row r="159" spans="1:8" x14ac:dyDescent="0.25">
      <c r="A159" s="242" t="s">
        <v>521</v>
      </c>
      <c r="B159" s="243"/>
      <c r="C159" s="244"/>
      <c r="D159" s="43"/>
      <c r="E159" s="322" t="str">
        <f>IF(D159="","",IF(D159&lt;12,"Does not meet design criteria",""))</f>
        <v/>
      </c>
      <c r="F159" s="323"/>
      <c r="G159" s="323"/>
      <c r="H159" s="324"/>
    </row>
    <row r="160" spans="1:8" ht="13" x14ac:dyDescent="0.25">
      <c r="A160" s="236" t="s">
        <v>232</v>
      </c>
      <c r="B160" s="237"/>
      <c r="C160" s="237"/>
      <c r="D160" s="237"/>
      <c r="E160" s="237"/>
      <c r="F160" s="237"/>
      <c r="G160" s="237"/>
      <c r="H160" s="238"/>
    </row>
    <row r="161" spans="1:8" ht="13" x14ac:dyDescent="0.25">
      <c r="A161" s="35"/>
      <c r="B161" s="36"/>
      <c r="C161" s="36"/>
      <c r="D161" s="208" t="s">
        <v>256</v>
      </c>
      <c r="E161" s="141" t="s">
        <v>257</v>
      </c>
      <c r="F161" s="375" t="s">
        <v>258</v>
      </c>
      <c r="G161" s="376"/>
      <c r="H161" s="377"/>
    </row>
    <row r="162" spans="1:8" x14ac:dyDescent="0.25">
      <c r="A162" s="245" t="s">
        <v>596</v>
      </c>
      <c r="B162" s="245"/>
      <c r="C162" s="159" t="s">
        <v>328</v>
      </c>
      <c r="D162" s="218"/>
      <c r="E162" s="193" t="s">
        <v>329</v>
      </c>
      <c r="F162" s="345" t="s">
        <v>330</v>
      </c>
      <c r="G162" s="345"/>
      <c r="H162" s="345"/>
    </row>
    <row r="163" spans="1:8" x14ac:dyDescent="0.25">
      <c r="A163" s="245" t="s">
        <v>597</v>
      </c>
      <c r="B163" s="245"/>
      <c r="C163" s="198" t="s">
        <v>270</v>
      </c>
      <c r="D163" s="218"/>
      <c r="E163" s="192" t="s">
        <v>271</v>
      </c>
      <c r="F163" s="344" t="s">
        <v>721</v>
      </c>
      <c r="G163" s="344"/>
      <c r="H163" s="344"/>
    </row>
    <row r="164" spans="1:8" x14ac:dyDescent="0.25">
      <c r="A164" s="245" t="s">
        <v>598</v>
      </c>
      <c r="B164" s="245"/>
      <c r="C164" s="198" t="s">
        <v>599</v>
      </c>
      <c r="D164" s="160" t="str">
        <f>IF(D163="","",IF(ROUND(((43200*D162)/(D163*10)),0)&lt;2,2,ROUND(((43200*D162)/(D163*10)),0)))</f>
        <v/>
      </c>
      <c r="E164" s="192" t="s">
        <v>271</v>
      </c>
      <c r="F164" s="289"/>
      <c r="G164" s="289"/>
      <c r="H164" s="289"/>
    </row>
    <row r="165" spans="1:8" x14ac:dyDescent="0.25">
      <c r="A165" s="245" t="s">
        <v>722</v>
      </c>
      <c r="B165" s="245"/>
      <c r="C165" s="198" t="s">
        <v>599</v>
      </c>
      <c r="D165" s="218"/>
      <c r="E165" s="192" t="s">
        <v>271</v>
      </c>
      <c r="F165" s="344" t="str">
        <f>IF(D165&lt;D164,"Does not meet design criteria","")</f>
        <v/>
      </c>
      <c r="G165" s="344"/>
      <c r="H165" s="344"/>
    </row>
    <row r="166" spans="1:8" ht="13" x14ac:dyDescent="0.25">
      <c r="A166" s="236" t="s">
        <v>276</v>
      </c>
      <c r="B166" s="237"/>
      <c r="C166" s="237"/>
      <c r="D166" s="237"/>
      <c r="E166" s="237"/>
      <c r="F166" s="237"/>
      <c r="G166" s="237"/>
      <c r="H166" s="238"/>
    </row>
    <row r="167" spans="1:8" ht="13" x14ac:dyDescent="0.25">
      <c r="A167" s="335" t="s">
        <v>241</v>
      </c>
      <c r="B167" s="335"/>
      <c r="C167" s="9" t="str">
        <f>IF(A144="","",IF(D147="No",0,IF(D149&gt;100,0,IF(D150&gt;150,0,IF(D153="No",0,IF(D154&lt;1,0,IF(D155&lt;14,0,IF(D158&gt;15,0,IF(D159&lt;12,0,IF(D165&lt;D164,0,IF(D156&lt;4,0,IF(D157&gt;5,0,IF(D146="A",(F144*0.4),IF(D146="B",(F144*0.4),IF(D146="C",(F144*0.2),IF(D146="D",(F144*0.2)))))))))))))))))</f>
        <v/>
      </c>
      <c r="D167" s="339" t="s">
        <v>2</v>
      </c>
      <c r="E167" s="340"/>
      <c r="F167" s="340"/>
      <c r="G167" s="340"/>
      <c r="H167" s="341"/>
    </row>
    <row r="168" spans="1:8" x14ac:dyDescent="0.25">
      <c r="A168" s="265" t="s">
        <v>74</v>
      </c>
      <c r="B168" s="265"/>
      <c r="C168" s="212" t="str">
        <f>IF(A144="","",IF(C167=0,0,IF(D165&lt;D164,0,F144-C167)))</f>
        <v/>
      </c>
      <c r="D168" s="193" t="s">
        <v>2</v>
      </c>
      <c r="E168" s="242" t="s">
        <v>590</v>
      </c>
      <c r="F168" s="243"/>
      <c r="G168" s="243"/>
      <c r="H168" s="244"/>
    </row>
    <row r="169" spans="1:8" ht="13" x14ac:dyDescent="0.3">
      <c r="A169" s="24" t="s">
        <v>56</v>
      </c>
      <c r="B169" s="23" t="str">
        <f>IF('STEP 2-WQv Calculation'!$B$4="","",'STEP 2-WQv Calculation'!$B$4)</f>
        <v/>
      </c>
      <c r="C169" s="31"/>
      <c r="D169" s="31"/>
      <c r="E169" s="32"/>
      <c r="F169" s="33"/>
      <c r="G169" s="33"/>
      <c r="H169" s="33"/>
    </row>
    <row r="170" spans="1:8" ht="13" x14ac:dyDescent="0.25">
      <c r="A170" s="331" t="s">
        <v>293</v>
      </c>
      <c r="B170" s="332"/>
      <c r="C170" s="332"/>
      <c r="D170" s="332"/>
      <c r="E170" s="332"/>
      <c r="F170" s="332"/>
      <c r="G170" s="332"/>
      <c r="H170" s="333"/>
    </row>
    <row r="171" spans="1:8" ht="38.5" x14ac:dyDescent="0.25">
      <c r="A171" s="204" t="s">
        <v>60</v>
      </c>
      <c r="B171" s="205" t="s">
        <v>61</v>
      </c>
      <c r="C171" s="205" t="s">
        <v>62</v>
      </c>
      <c r="D171" s="205" t="s">
        <v>63</v>
      </c>
      <c r="E171" s="205" t="s">
        <v>64</v>
      </c>
      <c r="F171" s="205" t="s">
        <v>65</v>
      </c>
      <c r="G171" s="205" t="s">
        <v>244</v>
      </c>
      <c r="H171" s="206" t="s">
        <v>13</v>
      </c>
    </row>
    <row r="172" spans="1:8" x14ac:dyDescent="0.25">
      <c r="A172" s="17"/>
      <c r="B172" s="18" t="str">
        <f>IF($A172="","",(LOOKUP($A172,'STEP 2-WQv Calculation'!$A$8:$A$37,'STEP 2-WQv Calculation'!$B$8:$B$37)))</f>
        <v/>
      </c>
      <c r="C172" s="18" t="str">
        <f>IF($A172="","",(LOOKUP($A172,'STEP 2-WQv Calculation'!$A$8:$A$37,'STEP 2-WQv Calculation'!$C$8:$C$37)))</f>
        <v/>
      </c>
      <c r="D172" s="53" t="str">
        <f>IF($A172="","",(LOOKUP($A172,'STEP 2-WQv Calculation'!$A$8:$A$37,'STEP 2-WQv Calculation'!$D$8:$D$37)))</f>
        <v/>
      </c>
      <c r="E172" s="18" t="str">
        <f>IF($A172="","",(LOOKUP($A172,'STEP 2-WQv Calculation'!$A$8:$A$37,'STEP 2-WQv Calculation'!$E$8:$E$37)))</f>
        <v/>
      </c>
      <c r="F172" s="42" t="str">
        <f>IF($A172="","",(LOOKUP($A172,'STEP 2-WQv Calculation'!$A$8:$A$37,'STEP 2-WQv Calculation'!$F$8:$F$37)))</f>
        <v/>
      </c>
      <c r="G172" s="18">
        <f>'STEP 2-WQv Calculation'!$B$5</f>
        <v>0</v>
      </c>
      <c r="H172" s="29" t="str">
        <f>IF($A172="","",(LOOKUP($A172,'STEP 2-WQv Calculation'!$A$8:$A$37,'STEP 2-WQv Calculation'!$G$8:$G$37)))</f>
        <v/>
      </c>
    </row>
    <row r="173" spans="1:8" ht="13" x14ac:dyDescent="0.25">
      <c r="A173" s="236" t="s">
        <v>226</v>
      </c>
      <c r="B173" s="237"/>
      <c r="C173" s="237"/>
      <c r="D173" s="237"/>
      <c r="E173" s="237"/>
      <c r="F173" s="237"/>
      <c r="G173" s="237"/>
      <c r="H173" s="238"/>
    </row>
    <row r="174" spans="1:8" x14ac:dyDescent="0.25">
      <c r="A174" s="354" t="s">
        <v>325</v>
      </c>
      <c r="B174" s="355"/>
      <c r="C174" s="356"/>
      <c r="D174" s="139"/>
      <c r="E174" s="357"/>
      <c r="F174" s="358"/>
      <c r="G174" s="358"/>
      <c r="H174" s="359"/>
    </row>
    <row r="175" spans="1:8" x14ac:dyDescent="0.25">
      <c r="A175" s="242" t="s">
        <v>591</v>
      </c>
      <c r="B175" s="243"/>
      <c r="C175" s="244"/>
      <c r="D175" s="211"/>
      <c r="E175" s="322" t="str">
        <f>IF(D175="No","Does not meet design criteria","")</f>
        <v/>
      </c>
      <c r="F175" s="323"/>
      <c r="G175" s="323"/>
      <c r="H175" s="324"/>
    </row>
    <row r="176" spans="1:8" x14ac:dyDescent="0.25">
      <c r="A176" s="242" t="s">
        <v>592</v>
      </c>
      <c r="B176" s="243"/>
      <c r="C176" s="244"/>
      <c r="D176" s="211"/>
      <c r="E176" s="322" t="str">
        <f>IF(D176="Yes","Impermeable liner required","")</f>
        <v/>
      </c>
      <c r="F176" s="323"/>
      <c r="G176" s="323"/>
      <c r="H176" s="324"/>
    </row>
    <row r="177" spans="1:8" x14ac:dyDescent="0.25">
      <c r="A177" s="242" t="s">
        <v>593</v>
      </c>
      <c r="B177" s="243"/>
      <c r="C177" s="244"/>
      <c r="D177" s="44"/>
      <c r="E177" s="322" t="str">
        <f>IF(D177&gt;100,"Does not meet design criteria","")</f>
        <v/>
      </c>
      <c r="F177" s="323"/>
      <c r="G177" s="323"/>
      <c r="H177" s="324"/>
    </row>
    <row r="178" spans="1:8" x14ac:dyDescent="0.25">
      <c r="A178" s="242" t="s">
        <v>594</v>
      </c>
      <c r="B178" s="243"/>
      <c r="C178" s="244"/>
      <c r="D178" s="44"/>
      <c r="E178" s="322" t="str">
        <f>IF(D178&gt;150,"Does not meet design criteria","")</f>
        <v/>
      </c>
      <c r="F178" s="323"/>
      <c r="G178" s="323"/>
      <c r="H178" s="324"/>
    </row>
    <row r="179" spans="1:8" x14ac:dyDescent="0.25">
      <c r="A179" s="242" t="s">
        <v>296</v>
      </c>
      <c r="B179" s="243"/>
      <c r="C179" s="244"/>
      <c r="D179" s="43"/>
      <c r="E179" s="322" t="str">
        <f>IF(D179="","",IF(D179&lt;2,"Impermeable liner required",""))</f>
        <v/>
      </c>
      <c r="F179" s="323"/>
      <c r="G179" s="323"/>
      <c r="H179" s="324"/>
    </row>
    <row r="180" spans="1:8" x14ac:dyDescent="0.25">
      <c r="A180" s="242" t="s">
        <v>297</v>
      </c>
      <c r="B180" s="243"/>
      <c r="C180" s="244"/>
      <c r="D180" s="43"/>
      <c r="E180" s="322" t="str">
        <f>IF(D180="","",IF(D180&lt;2,"Impermeable liner required",""))</f>
        <v/>
      </c>
      <c r="F180" s="323"/>
      <c r="G180" s="323"/>
      <c r="H180" s="324"/>
    </row>
    <row r="181" spans="1:8" x14ac:dyDescent="0.25">
      <c r="A181" s="242" t="s">
        <v>595</v>
      </c>
      <c r="B181" s="243"/>
      <c r="C181" s="244"/>
      <c r="D181" s="211"/>
      <c r="E181" s="322" t="str">
        <f>IF(D181="No","Does not meet design criteria","")</f>
        <v/>
      </c>
      <c r="F181" s="323"/>
      <c r="G181" s="323"/>
      <c r="H181" s="324"/>
    </row>
    <row r="182" spans="1:8" x14ac:dyDescent="0.25">
      <c r="A182" s="242" t="s">
        <v>558</v>
      </c>
      <c r="B182" s="243"/>
      <c r="C182" s="244"/>
      <c r="D182" s="43"/>
      <c r="E182" s="322" t="str">
        <f>IF(D182="","",IF(D182&lt;1,"Does not meet design criteria",""))</f>
        <v/>
      </c>
      <c r="F182" s="323"/>
      <c r="G182" s="323"/>
      <c r="H182" s="324"/>
    </row>
    <row r="183" spans="1:8" x14ac:dyDescent="0.25">
      <c r="A183" s="242" t="s">
        <v>402</v>
      </c>
      <c r="B183" s="243"/>
      <c r="C183" s="244"/>
      <c r="D183" s="43"/>
      <c r="E183" s="322" t="str">
        <f>IF(D183="","",IF(D183&lt;14,"Does not meet design criteria",""))</f>
        <v/>
      </c>
      <c r="F183" s="323"/>
      <c r="G183" s="323"/>
      <c r="H183" s="324"/>
    </row>
    <row r="184" spans="1:8" ht="25.5" customHeight="1" x14ac:dyDescent="0.25">
      <c r="A184" s="242" t="s">
        <v>706</v>
      </c>
      <c r="B184" s="406"/>
      <c r="C184" s="407"/>
      <c r="D184" s="43"/>
      <c r="E184" s="322" t="str">
        <f>IF(D184="","",IF(D184&lt;4,"Does not meet design standards",""))</f>
        <v/>
      </c>
      <c r="F184" s="406"/>
      <c r="G184" s="406"/>
      <c r="H184" s="407"/>
    </row>
    <row r="185" spans="1:8" ht="25.5" customHeight="1" x14ac:dyDescent="0.25">
      <c r="A185" s="242" t="s">
        <v>707</v>
      </c>
      <c r="B185" s="406"/>
      <c r="C185" s="407"/>
      <c r="D185" s="43"/>
      <c r="E185" s="322" t="str">
        <f>IF(D185="","",IF(D185&gt;5,"Does not meet design standards.",""))</f>
        <v/>
      </c>
      <c r="F185" s="406"/>
      <c r="G185" s="406"/>
      <c r="H185" s="407"/>
    </row>
    <row r="186" spans="1:8" x14ac:dyDescent="0.25">
      <c r="A186" s="242" t="s">
        <v>520</v>
      </c>
      <c r="B186" s="243"/>
      <c r="C186" s="244"/>
      <c r="D186" s="43"/>
      <c r="E186" s="322" t="str">
        <f>IF(D186&gt;15,"Does not meet design criteria","")</f>
        <v/>
      </c>
      <c r="F186" s="323"/>
      <c r="G186" s="323"/>
      <c r="H186" s="324"/>
    </row>
    <row r="187" spans="1:8" x14ac:dyDescent="0.25">
      <c r="A187" s="242" t="s">
        <v>521</v>
      </c>
      <c r="B187" s="243"/>
      <c r="C187" s="244"/>
      <c r="D187" s="43"/>
      <c r="E187" s="322" t="str">
        <f>IF(D187="","",IF(D187&lt;12,"Does not meet design criteria",""))</f>
        <v/>
      </c>
      <c r="F187" s="323"/>
      <c r="G187" s="323"/>
      <c r="H187" s="324"/>
    </row>
    <row r="188" spans="1:8" ht="13" x14ac:dyDescent="0.25">
      <c r="A188" s="236" t="s">
        <v>232</v>
      </c>
      <c r="B188" s="237"/>
      <c r="C188" s="237"/>
      <c r="D188" s="237"/>
      <c r="E188" s="237"/>
      <c r="F188" s="237"/>
      <c r="G188" s="237"/>
      <c r="H188" s="238"/>
    </row>
    <row r="189" spans="1:8" ht="13" x14ac:dyDescent="0.25">
      <c r="A189" s="35"/>
      <c r="B189" s="36"/>
      <c r="C189" s="36"/>
      <c r="D189" s="208" t="s">
        <v>256</v>
      </c>
      <c r="E189" s="141" t="s">
        <v>257</v>
      </c>
      <c r="F189" s="375" t="s">
        <v>258</v>
      </c>
      <c r="G189" s="376"/>
      <c r="H189" s="377"/>
    </row>
    <row r="190" spans="1:8" x14ac:dyDescent="0.25">
      <c r="A190" s="245" t="s">
        <v>596</v>
      </c>
      <c r="B190" s="245"/>
      <c r="C190" s="159" t="s">
        <v>328</v>
      </c>
      <c r="D190" s="218"/>
      <c r="E190" s="193" t="s">
        <v>329</v>
      </c>
      <c r="F190" s="345" t="s">
        <v>330</v>
      </c>
      <c r="G190" s="345"/>
      <c r="H190" s="345"/>
    </row>
    <row r="191" spans="1:8" x14ac:dyDescent="0.25">
      <c r="A191" s="245" t="s">
        <v>597</v>
      </c>
      <c r="B191" s="245"/>
      <c r="C191" s="198" t="s">
        <v>270</v>
      </c>
      <c r="D191" s="218"/>
      <c r="E191" s="192" t="s">
        <v>271</v>
      </c>
      <c r="F191" s="344" t="s">
        <v>721</v>
      </c>
      <c r="G191" s="344"/>
      <c r="H191" s="344"/>
    </row>
    <row r="192" spans="1:8" x14ac:dyDescent="0.25">
      <c r="A192" s="245" t="s">
        <v>598</v>
      </c>
      <c r="B192" s="245"/>
      <c r="C192" s="198" t="s">
        <v>599</v>
      </c>
      <c r="D192" s="160" t="str">
        <f>IF(D191="","",IF(ROUND(((43200*D190)/(D191*10)),0)&lt;2,2,ROUND(((43200*D190)/(D191*10)),0)))</f>
        <v/>
      </c>
      <c r="E192" s="192" t="s">
        <v>271</v>
      </c>
      <c r="F192" s="289"/>
      <c r="G192" s="289"/>
      <c r="H192" s="289"/>
    </row>
    <row r="193" spans="1:8" x14ac:dyDescent="0.25">
      <c r="A193" s="245" t="s">
        <v>722</v>
      </c>
      <c r="B193" s="245"/>
      <c r="C193" s="198" t="s">
        <v>599</v>
      </c>
      <c r="D193" s="218"/>
      <c r="E193" s="192" t="s">
        <v>271</v>
      </c>
      <c r="F193" s="344" t="str">
        <f>IF(D193&lt;D192,"Does not meet design criteria","")</f>
        <v/>
      </c>
      <c r="G193" s="344"/>
      <c r="H193" s="344"/>
    </row>
    <row r="194" spans="1:8" ht="13" x14ac:dyDescent="0.25">
      <c r="A194" s="236" t="s">
        <v>276</v>
      </c>
      <c r="B194" s="237"/>
      <c r="C194" s="237"/>
      <c r="D194" s="237"/>
      <c r="E194" s="237"/>
      <c r="F194" s="237"/>
      <c r="G194" s="237"/>
      <c r="H194" s="238"/>
    </row>
    <row r="195" spans="1:8" ht="13" x14ac:dyDescent="0.25">
      <c r="A195" s="335" t="s">
        <v>241</v>
      </c>
      <c r="B195" s="335"/>
      <c r="C195" s="9" t="str">
        <f>IF(A172="","",IF(D175="No",0,IF(D177&gt;100,0,IF(D178&gt;150,0,IF(D181="No",0,IF(D182&lt;1,0,IF(D183&lt;14,0,IF(D186&gt;15,0,IF(D187&lt;12,0,IF(D193&lt;D192,0,IF(D184&lt;4,0,IF(D185&gt;5,0,IF(D174="A",(F172*0.4),IF(D174="B",(F172*0.4),IF(D174="C",(F172*0.2),IF(D174="D",(F172*0.2)))))))))))))))))</f>
        <v/>
      </c>
      <c r="D195" s="339" t="s">
        <v>2</v>
      </c>
      <c r="E195" s="340"/>
      <c r="F195" s="340"/>
      <c r="G195" s="340"/>
      <c r="H195" s="341"/>
    </row>
    <row r="196" spans="1:8" x14ac:dyDescent="0.25">
      <c r="A196" s="265" t="s">
        <v>74</v>
      </c>
      <c r="B196" s="265"/>
      <c r="C196" s="212" t="str">
        <f>IF(A172="","",IF(C195=0,0,IF(D193&lt;D192,0,F172-C195)))</f>
        <v/>
      </c>
      <c r="D196" s="193" t="s">
        <v>2</v>
      </c>
      <c r="E196" s="242" t="s">
        <v>590</v>
      </c>
      <c r="F196" s="243"/>
      <c r="G196" s="243"/>
      <c r="H196" s="244"/>
    </row>
    <row r="197" spans="1:8" ht="13" x14ac:dyDescent="0.3">
      <c r="A197" s="24" t="s">
        <v>56</v>
      </c>
      <c r="B197" s="23" t="str">
        <f>IF('STEP 2-WQv Calculation'!$B$4="","",'STEP 2-WQv Calculation'!$B$4)</f>
        <v/>
      </c>
      <c r="C197" s="31"/>
      <c r="D197" s="31"/>
      <c r="E197" s="32"/>
      <c r="F197" s="33"/>
      <c r="G197" s="33"/>
      <c r="H197" s="33"/>
    </row>
    <row r="198" spans="1:8" ht="13" x14ac:dyDescent="0.25">
      <c r="A198" s="331" t="s">
        <v>293</v>
      </c>
      <c r="B198" s="332"/>
      <c r="C198" s="332"/>
      <c r="D198" s="332"/>
      <c r="E198" s="332"/>
      <c r="F198" s="332"/>
      <c r="G198" s="332"/>
      <c r="H198" s="333"/>
    </row>
    <row r="199" spans="1:8" ht="38.5" x14ac:dyDescent="0.25">
      <c r="A199" s="204" t="s">
        <v>60</v>
      </c>
      <c r="B199" s="205" t="s">
        <v>61</v>
      </c>
      <c r="C199" s="205" t="s">
        <v>62</v>
      </c>
      <c r="D199" s="205" t="s">
        <v>63</v>
      </c>
      <c r="E199" s="205" t="s">
        <v>64</v>
      </c>
      <c r="F199" s="205" t="s">
        <v>65</v>
      </c>
      <c r="G199" s="205" t="s">
        <v>244</v>
      </c>
      <c r="H199" s="206" t="s">
        <v>13</v>
      </c>
    </row>
    <row r="200" spans="1:8" x14ac:dyDescent="0.25">
      <c r="A200" s="17"/>
      <c r="B200" s="18" t="str">
        <f>IF($A200="","",(LOOKUP($A200,'STEP 2-WQv Calculation'!$A$8:$A$37,'STEP 2-WQv Calculation'!$B$8:$B$37)))</f>
        <v/>
      </c>
      <c r="C200" s="18" t="str">
        <f>IF($A200="","",(LOOKUP($A200,'STEP 2-WQv Calculation'!$A$8:$A$37,'STEP 2-WQv Calculation'!$C$8:$C$37)))</f>
        <v/>
      </c>
      <c r="D200" s="53" t="str">
        <f>IF($A200="","",(LOOKUP($A200,'STEP 2-WQv Calculation'!$A$8:$A$37,'STEP 2-WQv Calculation'!$D$8:$D$37)))</f>
        <v/>
      </c>
      <c r="E200" s="18" t="str">
        <f>IF($A200="","",(LOOKUP($A200,'STEP 2-WQv Calculation'!$A$8:$A$37,'STEP 2-WQv Calculation'!$E$8:$E$37)))</f>
        <v/>
      </c>
      <c r="F200" s="42" t="str">
        <f>IF($A200="","",(LOOKUP($A200,'STEP 2-WQv Calculation'!$A$8:$A$37,'STEP 2-WQv Calculation'!$F$8:$F$37)))</f>
        <v/>
      </c>
      <c r="G200" s="18">
        <f>'STEP 2-WQv Calculation'!$B$5</f>
        <v>0</v>
      </c>
      <c r="H200" s="29" t="str">
        <f>IF($A200="","",(LOOKUP($A200,'STEP 2-WQv Calculation'!$A$8:$A$37,'STEP 2-WQv Calculation'!$G$8:$G$37)))</f>
        <v/>
      </c>
    </row>
    <row r="201" spans="1:8" ht="13" x14ac:dyDescent="0.25">
      <c r="A201" s="236" t="s">
        <v>226</v>
      </c>
      <c r="B201" s="237"/>
      <c r="C201" s="237"/>
      <c r="D201" s="237"/>
      <c r="E201" s="237"/>
      <c r="F201" s="237"/>
      <c r="G201" s="237"/>
      <c r="H201" s="238"/>
    </row>
    <row r="202" spans="1:8" x14ac:dyDescent="0.25">
      <c r="A202" s="354" t="s">
        <v>325</v>
      </c>
      <c r="B202" s="355"/>
      <c r="C202" s="356"/>
      <c r="D202" s="139"/>
      <c r="E202" s="357"/>
      <c r="F202" s="358"/>
      <c r="G202" s="358"/>
      <c r="H202" s="359"/>
    </row>
    <row r="203" spans="1:8" x14ac:dyDescent="0.25">
      <c r="A203" s="242" t="s">
        <v>591</v>
      </c>
      <c r="B203" s="243"/>
      <c r="C203" s="244"/>
      <c r="D203" s="211"/>
      <c r="E203" s="322" t="str">
        <f>IF(D203="No","Does not meet design criteria","")</f>
        <v/>
      </c>
      <c r="F203" s="323"/>
      <c r="G203" s="323"/>
      <c r="H203" s="324"/>
    </row>
    <row r="204" spans="1:8" x14ac:dyDescent="0.25">
      <c r="A204" s="242" t="s">
        <v>592</v>
      </c>
      <c r="B204" s="243"/>
      <c r="C204" s="244"/>
      <c r="D204" s="211"/>
      <c r="E204" s="322" t="str">
        <f>IF(D204="Yes","Impermeable liner required","")</f>
        <v/>
      </c>
      <c r="F204" s="323"/>
      <c r="G204" s="323"/>
      <c r="H204" s="324"/>
    </row>
    <row r="205" spans="1:8" x14ac:dyDescent="0.25">
      <c r="A205" s="242" t="s">
        <v>593</v>
      </c>
      <c r="B205" s="243"/>
      <c r="C205" s="244"/>
      <c r="D205" s="44"/>
      <c r="E205" s="322" t="str">
        <f>IF(D205&gt;100,"Does not meet design criteria","")</f>
        <v/>
      </c>
      <c r="F205" s="323"/>
      <c r="G205" s="323"/>
      <c r="H205" s="324"/>
    </row>
    <row r="206" spans="1:8" x14ac:dyDescent="0.25">
      <c r="A206" s="242" t="s">
        <v>594</v>
      </c>
      <c r="B206" s="243"/>
      <c r="C206" s="244"/>
      <c r="D206" s="44"/>
      <c r="E206" s="322" t="str">
        <f>IF(D206&gt;150,"Does not meet design criteria","")</f>
        <v/>
      </c>
      <c r="F206" s="323"/>
      <c r="G206" s="323"/>
      <c r="H206" s="324"/>
    </row>
    <row r="207" spans="1:8" x14ac:dyDescent="0.25">
      <c r="A207" s="242" t="s">
        <v>296</v>
      </c>
      <c r="B207" s="243"/>
      <c r="C207" s="244"/>
      <c r="D207" s="43"/>
      <c r="E207" s="322" t="str">
        <f>IF(D207="","",IF(D207&lt;2,"Impermeable liner required",""))</f>
        <v/>
      </c>
      <c r="F207" s="323"/>
      <c r="G207" s="323"/>
      <c r="H207" s="324"/>
    </row>
    <row r="208" spans="1:8" x14ac:dyDescent="0.25">
      <c r="A208" s="242" t="s">
        <v>297</v>
      </c>
      <c r="B208" s="243"/>
      <c r="C208" s="244"/>
      <c r="D208" s="43"/>
      <c r="E208" s="322" t="str">
        <f>IF(D208="","",IF(D208&lt;2,"Impermeable liner required",""))</f>
        <v/>
      </c>
      <c r="F208" s="323"/>
      <c r="G208" s="323"/>
      <c r="H208" s="324"/>
    </row>
    <row r="209" spans="1:8" x14ac:dyDescent="0.25">
      <c r="A209" s="242" t="s">
        <v>595</v>
      </c>
      <c r="B209" s="243"/>
      <c r="C209" s="244"/>
      <c r="D209" s="211"/>
      <c r="E209" s="322" t="str">
        <f>IF(D209="No","Does not meet design criteria","")</f>
        <v/>
      </c>
      <c r="F209" s="323"/>
      <c r="G209" s="323"/>
      <c r="H209" s="324"/>
    </row>
    <row r="210" spans="1:8" x14ac:dyDescent="0.25">
      <c r="A210" s="242" t="s">
        <v>558</v>
      </c>
      <c r="B210" s="243"/>
      <c r="C210" s="244"/>
      <c r="D210" s="43"/>
      <c r="E210" s="322" t="str">
        <f>IF(D210="","",IF(D210&lt;1,"Does not meet design criteria",""))</f>
        <v/>
      </c>
      <c r="F210" s="323"/>
      <c r="G210" s="323"/>
      <c r="H210" s="324"/>
    </row>
    <row r="211" spans="1:8" x14ac:dyDescent="0.25">
      <c r="A211" s="242" t="s">
        <v>402</v>
      </c>
      <c r="B211" s="243"/>
      <c r="C211" s="244"/>
      <c r="D211" s="43"/>
      <c r="E211" s="322" t="str">
        <f>IF(D211="","",IF(D211&lt;14,"Does not meet design criteria",""))</f>
        <v/>
      </c>
      <c r="F211" s="323"/>
      <c r="G211" s="323"/>
      <c r="H211" s="324"/>
    </row>
    <row r="212" spans="1:8" ht="25.5" customHeight="1" x14ac:dyDescent="0.25">
      <c r="A212" s="242" t="s">
        <v>706</v>
      </c>
      <c r="B212" s="406"/>
      <c r="C212" s="407"/>
      <c r="D212" s="43"/>
      <c r="E212" s="322" t="str">
        <f>IF(D212="","",IF(D212&lt;4,"Does not meet design standards",""))</f>
        <v/>
      </c>
      <c r="F212" s="406"/>
      <c r="G212" s="406"/>
      <c r="H212" s="407"/>
    </row>
    <row r="213" spans="1:8" ht="24" customHeight="1" x14ac:dyDescent="0.25">
      <c r="A213" s="242" t="s">
        <v>707</v>
      </c>
      <c r="B213" s="406"/>
      <c r="C213" s="407"/>
      <c r="D213" s="43"/>
      <c r="E213" s="322" t="str">
        <f>IF(D213="","",IF(D213&gt;5,"Does not meet design standards.",""))</f>
        <v/>
      </c>
      <c r="F213" s="406"/>
      <c r="G213" s="406"/>
      <c r="H213" s="407"/>
    </row>
    <row r="214" spans="1:8" x14ac:dyDescent="0.25">
      <c r="A214" s="242" t="s">
        <v>520</v>
      </c>
      <c r="B214" s="243"/>
      <c r="C214" s="244"/>
      <c r="D214" s="43"/>
      <c r="E214" s="322" t="str">
        <f>IF(D214&gt;15,"Does not meet design criteria","")</f>
        <v/>
      </c>
      <c r="F214" s="323"/>
      <c r="G214" s="323"/>
      <c r="H214" s="324"/>
    </row>
    <row r="215" spans="1:8" x14ac:dyDescent="0.25">
      <c r="A215" s="242" t="s">
        <v>521</v>
      </c>
      <c r="B215" s="243"/>
      <c r="C215" s="244"/>
      <c r="D215" s="43"/>
      <c r="E215" s="322" t="str">
        <f>IF(D215="","",IF(D215&lt;12,"Does not meet design criteria",""))</f>
        <v/>
      </c>
      <c r="F215" s="323"/>
      <c r="G215" s="323"/>
      <c r="H215" s="324"/>
    </row>
    <row r="216" spans="1:8" ht="13" x14ac:dyDescent="0.25">
      <c r="A216" s="236" t="s">
        <v>232</v>
      </c>
      <c r="B216" s="237"/>
      <c r="C216" s="237"/>
      <c r="D216" s="237"/>
      <c r="E216" s="237"/>
      <c r="F216" s="237"/>
      <c r="G216" s="237"/>
      <c r="H216" s="238"/>
    </row>
    <row r="217" spans="1:8" ht="13" x14ac:dyDescent="0.25">
      <c r="A217" s="35"/>
      <c r="B217" s="36"/>
      <c r="C217" s="36"/>
      <c r="D217" s="208" t="s">
        <v>256</v>
      </c>
      <c r="E217" s="141" t="s">
        <v>257</v>
      </c>
      <c r="F217" s="375" t="s">
        <v>258</v>
      </c>
      <c r="G217" s="376"/>
      <c r="H217" s="377"/>
    </row>
    <row r="218" spans="1:8" x14ac:dyDescent="0.25">
      <c r="A218" s="245" t="s">
        <v>596</v>
      </c>
      <c r="B218" s="245"/>
      <c r="C218" s="159" t="s">
        <v>328</v>
      </c>
      <c r="D218" s="218"/>
      <c r="E218" s="193" t="s">
        <v>329</v>
      </c>
      <c r="F218" s="345" t="s">
        <v>330</v>
      </c>
      <c r="G218" s="345"/>
      <c r="H218" s="345"/>
    </row>
    <row r="219" spans="1:8" x14ac:dyDescent="0.25">
      <c r="A219" s="245" t="s">
        <v>597</v>
      </c>
      <c r="B219" s="245"/>
      <c r="C219" s="198" t="s">
        <v>270</v>
      </c>
      <c r="D219" s="218"/>
      <c r="E219" s="192" t="s">
        <v>271</v>
      </c>
      <c r="F219" s="344" t="s">
        <v>721</v>
      </c>
      <c r="G219" s="344"/>
      <c r="H219" s="344"/>
    </row>
    <row r="220" spans="1:8" x14ac:dyDescent="0.25">
      <c r="A220" s="245" t="s">
        <v>598</v>
      </c>
      <c r="B220" s="245"/>
      <c r="C220" s="198" t="s">
        <v>599</v>
      </c>
      <c r="D220" s="160" t="str">
        <f>IF(D219="","",IF(ROUND(((43200*D218)/(D219*10)),0)&lt;2,2,ROUND(((43200*D218)/(D219*10)),0)))</f>
        <v/>
      </c>
      <c r="E220" s="192" t="s">
        <v>271</v>
      </c>
      <c r="F220" s="289"/>
      <c r="G220" s="289"/>
      <c r="H220" s="289"/>
    </row>
    <row r="221" spans="1:8" x14ac:dyDescent="0.25">
      <c r="A221" s="245" t="s">
        <v>722</v>
      </c>
      <c r="B221" s="245"/>
      <c r="C221" s="198" t="s">
        <v>599</v>
      </c>
      <c r="D221" s="218"/>
      <c r="E221" s="192" t="s">
        <v>271</v>
      </c>
      <c r="F221" s="344" t="str">
        <f>IF(D221&lt;D220,"Does not meet design criteria","")</f>
        <v/>
      </c>
      <c r="G221" s="344"/>
      <c r="H221" s="344"/>
    </row>
    <row r="222" spans="1:8" ht="13" x14ac:dyDescent="0.25">
      <c r="A222" s="236" t="s">
        <v>276</v>
      </c>
      <c r="B222" s="237"/>
      <c r="C222" s="237"/>
      <c r="D222" s="237"/>
      <c r="E222" s="237"/>
      <c r="F222" s="237"/>
      <c r="G222" s="237"/>
      <c r="H222" s="238"/>
    </row>
    <row r="223" spans="1:8" ht="13" x14ac:dyDescent="0.25">
      <c r="A223" s="335" t="s">
        <v>241</v>
      </c>
      <c r="B223" s="335"/>
      <c r="C223" s="9" t="str">
        <f>IF(A200="","",IF(D203="No",0,IF(D205&gt;100,0,IF(D206&gt;150,0,IF(D209="No",0,IF(D210&lt;1,0,IF(D211&lt;14,0,IF(D214&gt;15,0,IF(D215&lt;12,0,IF(D221&lt;D220,0,IF(D212&lt;4,0,IF(D213&gt;5,0,IF(D202="A",(F200*0.4),IF(D202="B",(F200*0.4),IF(D202="C",(F200*0.2),IF(D202="D",(F200*0.2)))))))))))))))))</f>
        <v/>
      </c>
      <c r="D223" s="339" t="s">
        <v>2</v>
      </c>
      <c r="E223" s="340"/>
      <c r="F223" s="340"/>
      <c r="G223" s="340"/>
      <c r="H223" s="341"/>
    </row>
    <row r="224" spans="1:8" x14ac:dyDescent="0.25">
      <c r="A224" s="265" t="s">
        <v>74</v>
      </c>
      <c r="B224" s="265"/>
      <c r="C224" s="212" t="str">
        <f>IF(A200="","",IF(C223=0,0,IF(D221&lt;D220,0,F200-C223)))</f>
        <v/>
      </c>
      <c r="D224" s="193" t="s">
        <v>2</v>
      </c>
      <c r="E224" s="242" t="s">
        <v>590</v>
      </c>
      <c r="F224" s="243"/>
      <c r="G224" s="243"/>
      <c r="H224" s="244"/>
    </row>
    <row r="225" spans="1:8" ht="13" x14ac:dyDescent="0.3">
      <c r="A225" s="24" t="s">
        <v>56</v>
      </c>
      <c r="B225" s="23" t="str">
        <f>IF('STEP 2-WQv Calculation'!$B$4="","",'STEP 2-WQv Calculation'!$B$4)</f>
        <v/>
      </c>
      <c r="C225" s="31"/>
      <c r="D225" s="31"/>
      <c r="E225" s="32"/>
      <c r="F225" s="33"/>
      <c r="G225" s="33"/>
      <c r="H225" s="33"/>
    </row>
    <row r="226" spans="1:8" ht="13" x14ac:dyDescent="0.25">
      <c r="A226" s="331" t="s">
        <v>293</v>
      </c>
      <c r="B226" s="332"/>
      <c r="C226" s="332"/>
      <c r="D226" s="332"/>
      <c r="E226" s="332"/>
      <c r="F226" s="332"/>
      <c r="G226" s="332"/>
      <c r="H226" s="333"/>
    </row>
    <row r="227" spans="1:8" ht="38.5" x14ac:dyDescent="0.25">
      <c r="A227" s="204" t="s">
        <v>60</v>
      </c>
      <c r="B227" s="205" t="s">
        <v>61</v>
      </c>
      <c r="C227" s="205" t="s">
        <v>62</v>
      </c>
      <c r="D227" s="205" t="s">
        <v>63</v>
      </c>
      <c r="E227" s="205" t="s">
        <v>64</v>
      </c>
      <c r="F227" s="205" t="s">
        <v>65</v>
      </c>
      <c r="G227" s="205" t="s">
        <v>244</v>
      </c>
      <c r="H227" s="206" t="s">
        <v>13</v>
      </c>
    </row>
    <row r="228" spans="1:8" x14ac:dyDescent="0.25">
      <c r="A228" s="17"/>
      <c r="B228" s="18" t="str">
        <f>IF($A228="","",(LOOKUP($A228,'STEP 2-WQv Calculation'!$A$8:$A$37,'STEP 2-WQv Calculation'!$B$8:$B$37)))</f>
        <v/>
      </c>
      <c r="C228" s="18" t="str">
        <f>IF($A228="","",(LOOKUP($A228,'STEP 2-WQv Calculation'!$A$8:$A$37,'STEP 2-WQv Calculation'!$C$8:$C$37)))</f>
        <v/>
      </c>
      <c r="D228" s="53" t="str">
        <f>IF($A228="","",(LOOKUP($A228,'STEP 2-WQv Calculation'!$A$8:$A$37,'STEP 2-WQv Calculation'!$D$8:$D$37)))</f>
        <v/>
      </c>
      <c r="E228" s="18" t="str">
        <f>IF($A228="","",(LOOKUP($A228,'STEP 2-WQv Calculation'!$A$8:$A$37,'STEP 2-WQv Calculation'!$E$8:$E$37)))</f>
        <v/>
      </c>
      <c r="F228" s="42" t="str">
        <f>IF($A228="","",(LOOKUP($A228,'STEP 2-WQv Calculation'!$A$8:$A$37,'STEP 2-WQv Calculation'!$F$8:$F$37)))</f>
        <v/>
      </c>
      <c r="G228" s="18">
        <f>'STEP 2-WQv Calculation'!$B$5</f>
        <v>0</v>
      </c>
      <c r="H228" s="29" t="str">
        <f>IF($A228="","",(LOOKUP($A228,'STEP 2-WQv Calculation'!$A$8:$A$37,'STEP 2-WQv Calculation'!$G$8:$G$37)))</f>
        <v/>
      </c>
    </row>
    <row r="229" spans="1:8" ht="13" x14ac:dyDescent="0.25">
      <c r="A229" s="236" t="s">
        <v>226</v>
      </c>
      <c r="B229" s="237"/>
      <c r="C229" s="237"/>
      <c r="D229" s="237"/>
      <c r="E229" s="237"/>
      <c r="F229" s="237"/>
      <c r="G229" s="237"/>
      <c r="H229" s="238"/>
    </row>
    <row r="230" spans="1:8" x14ac:dyDescent="0.25">
      <c r="A230" s="354" t="s">
        <v>325</v>
      </c>
      <c r="B230" s="355"/>
      <c r="C230" s="356"/>
      <c r="D230" s="139"/>
      <c r="E230" s="357"/>
      <c r="F230" s="358"/>
      <c r="G230" s="358"/>
      <c r="H230" s="359"/>
    </row>
    <row r="231" spans="1:8" x14ac:dyDescent="0.25">
      <c r="A231" s="242" t="s">
        <v>591</v>
      </c>
      <c r="B231" s="243"/>
      <c r="C231" s="244"/>
      <c r="D231" s="211"/>
      <c r="E231" s="322" t="str">
        <f>IF(D231="No","Does not meet design criteria","")</f>
        <v/>
      </c>
      <c r="F231" s="323"/>
      <c r="G231" s="323"/>
      <c r="H231" s="324"/>
    </row>
    <row r="232" spans="1:8" x14ac:dyDescent="0.25">
      <c r="A232" s="242" t="s">
        <v>592</v>
      </c>
      <c r="B232" s="243"/>
      <c r="C232" s="244"/>
      <c r="D232" s="211"/>
      <c r="E232" s="322" t="str">
        <f>IF(D232="Yes","Impermeable liner required","")</f>
        <v/>
      </c>
      <c r="F232" s="323"/>
      <c r="G232" s="323"/>
      <c r="H232" s="324"/>
    </row>
    <row r="233" spans="1:8" x14ac:dyDescent="0.25">
      <c r="A233" s="242" t="s">
        <v>593</v>
      </c>
      <c r="B233" s="243"/>
      <c r="C233" s="244"/>
      <c r="D233" s="44"/>
      <c r="E233" s="322" t="str">
        <f>IF(D233&gt;100,"Does not meet design criteria","")</f>
        <v/>
      </c>
      <c r="F233" s="323"/>
      <c r="G233" s="323"/>
      <c r="H233" s="324"/>
    </row>
    <row r="234" spans="1:8" x14ac:dyDescent="0.25">
      <c r="A234" s="242" t="s">
        <v>594</v>
      </c>
      <c r="B234" s="243"/>
      <c r="C234" s="244"/>
      <c r="D234" s="44"/>
      <c r="E234" s="322" t="str">
        <f>IF(D234&gt;150,"Does not meet design criteria","")</f>
        <v/>
      </c>
      <c r="F234" s="323"/>
      <c r="G234" s="323"/>
      <c r="H234" s="324"/>
    </row>
    <row r="235" spans="1:8" x14ac:dyDescent="0.25">
      <c r="A235" s="242" t="s">
        <v>296</v>
      </c>
      <c r="B235" s="243"/>
      <c r="C235" s="244"/>
      <c r="D235" s="43"/>
      <c r="E235" s="322" t="str">
        <f>IF(D235="","",IF(D235&lt;2,"Impermeable liner required",""))</f>
        <v/>
      </c>
      <c r="F235" s="323"/>
      <c r="G235" s="323"/>
      <c r="H235" s="324"/>
    </row>
    <row r="236" spans="1:8" x14ac:dyDescent="0.25">
      <c r="A236" s="242" t="s">
        <v>297</v>
      </c>
      <c r="B236" s="243"/>
      <c r="C236" s="244"/>
      <c r="D236" s="43"/>
      <c r="E236" s="322" t="str">
        <f>IF(D236="","",IF(D236&lt;2,"Impermeable liner required",""))</f>
        <v/>
      </c>
      <c r="F236" s="323"/>
      <c r="G236" s="323"/>
      <c r="H236" s="324"/>
    </row>
    <row r="237" spans="1:8" x14ac:dyDescent="0.25">
      <c r="A237" s="242" t="s">
        <v>595</v>
      </c>
      <c r="B237" s="243"/>
      <c r="C237" s="244"/>
      <c r="D237" s="211"/>
      <c r="E237" s="322" t="str">
        <f>IF(D237="No","Does not meet design criteria","")</f>
        <v/>
      </c>
      <c r="F237" s="323"/>
      <c r="G237" s="323"/>
      <c r="H237" s="324"/>
    </row>
    <row r="238" spans="1:8" x14ac:dyDescent="0.25">
      <c r="A238" s="242" t="s">
        <v>558</v>
      </c>
      <c r="B238" s="243"/>
      <c r="C238" s="244"/>
      <c r="D238" s="43"/>
      <c r="E238" s="322" t="str">
        <f>IF(D238="","",IF(D238&lt;1,"Does not meet design criteria",""))</f>
        <v/>
      </c>
      <c r="F238" s="323"/>
      <c r="G238" s="323"/>
      <c r="H238" s="324"/>
    </row>
    <row r="239" spans="1:8" x14ac:dyDescent="0.25">
      <c r="A239" s="242" t="s">
        <v>402</v>
      </c>
      <c r="B239" s="243"/>
      <c r="C239" s="244"/>
      <c r="D239" s="43"/>
      <c r="E239" s="322" t="str">
        <f>IF(D239="","",IF(D239&lt;14,"Does not meet design criteria",""))</f>
        <v/>
      </c>
      <c r="F239" s="323"/>
      <c r="G239" s="323"/>
      <c r="H239" s="324"/>
    </row>
    <row r="240" spans="1:8" ht="26.25" customHeight="1" x14ac:dyDescent="0.25">
      <c r="A240" s="242" t="s">
        <v>706</v>
      </c>
      <c r="B240" s="406"/>
      <c r="C240" s="407"/>
      <c r="D240" s="43"/>
      <c r="E240" s="322" t="str">
        <f>IF(D240="","",IF(D240&lt;4,"Does not meet design standards",""))</f>
        <v/>
      </c>
      <c r="F240" s="406"/>
      <c r="G240" s="406"/>
      <c r="H240" s="407"/>
    </row>
    <row r="241" spans="1:8" ht="23.25" customHeight="1" x14ac:dyDescent="0.25">
      <c r="A241" s="242" t="s">
        <v>707</v>
      </c>
      <c r="B241" s="406"/>
      <c r="C241" s="407"/>
      <c r="D241" s="43"/>
      <c r="E241" s="322" t="str">
        <f>IF(D241="","",IF(D241&gt;5,"Does not meet design standards.",""))</f>
        <v/>
      </c>
      <c r="F241" s="406"/>
      <c r="G241" s="406"/>
      <c r="H241" s="407"/>
    </row>
    <row r="242" spans="1:8" x14ac:dyDescent="0.25">
      <c r="A242" s="242" t="s">
        <v>520</v>
      </c>
      <c r="B242" s="243"/>
      <c r="C242" s="244"/>
      <c r="D242" s="43"/>
      <c r="E242" s="322" t="str">
        <f>IF(D242&gt;15,"Does not meet design criteria","")</f>
        <v/>
      </c>
      <c r="F242" s="323"/>
      <c r="G242" s="323"/>
      <c r="H242" s="324"/>
    </row>
    <row r="243" spans="1:8" x14ac:dyDescent="0.25">
      <c r="A243" s="242" t="s">
        <v>521</v>
      </c>
      <c r="B243" s="243"/>
      <c r="C243" s="244"/>
      <c r="D243" s="43"/>
      <c r="E243" s="322" t="str">
        <f>IF(D243="","",IF(D243&lt;12,"Does not meet design criteria",""))</f>
        <v/>
      </c>
      <c r="F243" s="323"/>
      <c r="G243" s="323"/>
      <c r="H243" s="324"/>
    </row>
    <row r="244" spans="1:8" ht="13" x14ac:dyDescent="0.25">
      <c r="A244" s="236" t="s">
        <v>232</v>
      </c>
      <c r="B244" s="237"/>
      <c r="C244" s="237"/>
      <c r="D244" s="237"/>
      <c r="E244" s="237"/>
      <c r="F244" s="237"/>
      <c r="G244" s="237"/>
      <c r="H244" s="238"/>
    </row>
    <row r="245" spans="1:8" ht="13" x14ac:dyDescent="0.25">
      <c r="A245" s="35"/>
      <c r="B245" s="36"/>
      <c r="C245" s="36"/>
      <c r="D245" s="208" t="s">
        <v>256</v>
      </c>
      <c r="E245" s="141" t="s">
        <v>257</v>
      </c>
      <c r="F245" s="375" t="s">
        <v>258</v>
      </c>
      <c r="G245" s="376"/>
      <c r="H245" s="377"/>
    </row>
    <row r="246" spans="1:8" x14ac:dyDescent="0.25">
      <c r="A246" s="245" t="s">
        <v>596</v>
      </c>
      <c r="B246" s="245"/>
      <c r="C246" s="159" t="s">
        <v>328</v>
      </c>
      <c r="D246" s="218"/>
      <c r="E246" s="193" t="s">
        <v>329</v>
      </c>
      <c r="F246" s="345" t="s">
        <v>330</v>
      </c>
      <c r="G246" s="345"/>
      <c r="H246" s="345"/>
    </row>
    <row r="247" spans="1:8" x14ac:dyDescent="0.25">
      <c r="A247" s="245" t="s">
        <v>597</v>
      </c>
      <c r="B247" s="245"/>
      <c r="C247" s="198" t="s">
        <v>270</v>
      </c>
      <c r="D247" s="218"/>
      <c r="E247" s="192" t="s">
        <v>271</v>
      </c>
      <c r="F247" s="344" t="s">
        <v>721</v>
      </c>
      <c r="G247" s="344"/>
      <c r="H247" s="344"/>
    </row>
    <row r="248" spans="1:8" x14ac:dyDescent="0.25">
      <c r="A248" s="245" t="s">
        <v>598</v>
      </c>
      <c r="B248" s="245"/>
      <c r="C248" s="198" t="s">
        <v>599</v>
      </c>
      <c r="D248" s="160" t="str">
        <f>IF(D247="","",IF(ROUND(((43200*D246)/(D247*10)),0)&lt;2,2,ROUND(((43200*D246)/(D247*10)),0)))</f>
        <v/>
      </c>
      <c r="E248" s="192" t="s">
        <v>271</v>
      </c>
      <c r="F248" s="289"/>
      <c r="G248" s="289"/>
      <c r="H248" s="289"/>
    </row>
    <row r="249" spans="1:8" x14ac:dyDescent="0.25">
      <c r="A249" s="245" t="s">
        <v>722</v>
      </c>
      <c r="B249" s="245"/>
      <c r="C249" s="198" t="s">
        <v>599</v>
      </c>
      <c r="D249" s="218"/>
      <c r="E249" s="192" t="s">
        <v>271</v>
      </c>
      <c r="F249" s="344" t="str">
        <f>IF(D249&lt;D248,"Does not meet design criteria","")</f>
        <v/>
      </c>
      <c r="G249" s="344"/>
      <c r="H249" s="344"/>
    </row>
    <row r="250" spans="1:8" ht="13" x14ac:dyDescent="0.25">
      <c r="A250" s="236" t="s">
        <v>276</v>
      </c>
      <c r="B250" s="237"/>
      <c r="C250" s="237"/>
      <c r="D250" s="237"/>
      <c r="E250" s="237"/>
      <c r="F250" s="237"/>
      <c r="G250" s="237"/>
      <c r="H250" s="238"/>
    </row>
    <row r="251" spans="1:8" ht="13" x14ac:dyDescent="0.25">
      <c r="A251" s="335" t="s">
        <v>241</v>
      </c>
      <c r="B251" s="335"/>
      <c r="C251" s="9" t="str">
        <f>IF(A228="","",IF(D231="No",0,IF(D233&gt;100,0,IF(D234&gt;150,0,IF(D237="No",0,IF(D238&lt;1,0,IF(D239&lt;14,0,IF(D242&gt;15,0,IF(D243&lt;12,0,IF(D249&lt;D248,0,IF(D240&lt;4,0,IF(D241&gt;5,0,IF(D230="A",(F228*0.4),IF(D230="B",(F228*0.4),IF(D230="C",(F228*0.2),IF(D230="D",(F228*0.2)))))))))))))))))</f>
        <v/>
      </c>
      <c r="D251" s="339" t="s">
        <v>2</v>
      </c>
      <c r="E251" s="340"/>
      <c r="F251" s="340"/>
      <c r="G251" s="340"/>
      <c r="H251" s="341"/>
    </row>
    <row r="252" spans="1:8" x14ac:dyDescent="0.25">
      <c r="A252" s="265" t="s">
        <v>74</v>
      </c>
      <c r="B252" s="265"/>
      <c r="C252" s="212" t="str">
        <f>IF(A228="","",IF(C251=0,0,IF(D249&lt;D248,0,F228-C251)))</f>
        <v/>
      </c>
      <c r="D252" s="193" t="s">
        <v>2</v>
      </c>
      <c r="E252" s="242" t="s">
        <v>590</v>
      </c>
      <c r="F252" s="243"/>
      <c r="G252" s="243"/>
      <c r="H252" s="244"/>
    </row>
    <row r="253" spans="1:8" ht="13" x14ac:dyDescent="0.3">
      <c r="A253" s="24" t="s">
        <v>56</v>
      </c>
      <c r="B253" s="23" t="str">
        <f>IF('STEP 2-WQv Calculation'!$B$4="","",'STEP 2-WQv Calculation'!$B$4)</f>
        <v/>
      </c>
      <c r="C253" s="31"/>
      <c r="D253" s="31"/>
      <c r="E253" s="32"/>
      <c r="F253" s="33"/>
      <c r="G253" s="33"/>
      <c r="H253" s="33"/>
    </row>
    <row r="254" spans="1:8" ht="13" x14ac:dyDescent="0.25">
      <c r="A254" s="331" t="s">
        <v>293</v>
      </c>
      <c r="B254" s="332"/>
      <c r="C254" s="332"/>
      <c r="D254" s="332"/>
      <c r="E254" s="332"/>
      <c r="F254" s="332"/>
      <c r="G254" s="332"/>
      <c r="H254" s="333"/>
    </row>
    <row r="255" spans="1:8" ht="38.5" x14ac:dyDescent="0.25">
      <c r="A255" s="204" t="s">
        <v>60</v>
      </c>
      <c r="B255" s="205" t="s">
        <v>61</v>
      </c>
      <c r="C255" s="205" t="s">
        <v>62</v>
      </c>
      <c r="D255" s="205" t="s">
        <v>63</v>
      </c>
      <c r="E255" s="205" t="s">
        <v>64</v>
      </c>
      <c r="F255" s="205" t="s">
        <v>65</v>
      </c>
      <c r="G255" s="205" t="s">
        <v>244</v>
      </c>
      <c r="H255" s="206" t="s">
        <v>13</v>
      </c>
    </row>
    <row r="256" spans="1:8" x14ac:dyDescent="0.25">
      <c r="A256" s="17"/>
      <c r="B256" s="18" t="str">
        <f>IF($A256="","",(LOOKUP($A256,'STEP 2-WQv Calculation'!$A$8:$A$37,'STEP 2-WQv Calculation'!$B$8:$B$37)))</f>
        <v/>
      </c>
      <c r="C256" s="18" t="str">
        <f>IF($A256="","",(LOOKUP($A256,'STEP 2-WQv Calculation'!$A$8:$A$37,'STEP 2-WQv Calculation'!$C$8:$C$37)))</f>
        <v/>
      </c>
      <c r="D256" s="53" t="str">
        <f>IF($A256="","",(LOOKUP($A256,'STEP 2-WQv Calculation'!$A$8:$A$37,'STEP 2-WQv Calculation'!$D$8:$D$37)))</f>
        <v/>
      </c>
      <c r="E256" s="18" t="str">
        <f>IF($A256="","",(LOOKUP($A256,'STEP 2-WQv Calculation'!$A$8:$A$37,'STEP 2-WQv Calculation'!$E$8:$E$37)))</f>
        <v/>
      </c>
      <c r="F256" s="42" t="str">
        <f>IF($A256="","",(LOOKUP($A256,'STEP 2-WQv Calculation'!$A$8:$A$37,'STEP 2-WQv Calculation'!$F$8:$F$37)))</f>
        <v/>
      </c>
      <c r="G256" s="18">
        <f>'STEP 2-WQv Calculation'!$B$5</f>
        <v>0</v>
      </c>
      <c r="H256" s="29" t="str">
        <f>IF($A256="","",(LOOKUP($A256,'STEP 2-WQv Calculation'!$A$8:$A$37,'STEP 2-WQv Calculation'!$G$8:$G$37)))</f>
        <v/>
      </c>
    </row>
    <row r="257" spans="1:8" ht="13" x14ac:dyDescent="0.25">
      <c r="A257" s="236" t="s">
        <v>226</v>
      </c>
      <c r="B257" s="237"/>
      <c r="C257" s="237"/>
      <c r="D257" s="237"/>
      <c r="E257" s="237"/>
      <c r="F257" s="237"/>
      <c r="G257" s="237"/>
      <c r="H257" s="238"/>
    </row>
    <row r="258" spans="1:8" x14ac:dyDescent="0.25">
      <c r="A258" s="354" t="s">
        <v>325</v>
      </c>
      <c r="B258" s="355"/>
      <c r="C258" s="356"/>
      <c r="D258" s="139"/>
      <c r="E258" s="357"/>
      <c r="F258" s="358"/>
      <c r="G258" s="358"/>
      <c r="H258" s="359"/>
    </row>
    <row r="259" spans="1:8" x14ac:dyDescent="0.25">
      <c r="A259" s="242" t="s">
        <v>591</v>
      </c>
      <c r="B259" s="243"/>
      <c r="C259" s="244"/>
      <c r="D259" s="211"/>
      <c r="E259" s="322" t="str">
        <f>IF(D259="No","Does not meet design criteria","")</f>
        <v/>
      </c>
      <c r="F259" s="323"/>
      <c r="G259" s="323"/>
      <c r="H259" s="324"/>
    </row>
    <row r="260" spans="1:8" x14ac:dyDescent="0.25">
      <c r="A260" s="242" t="s">
        <v>592</v>
      </c>
      <c r="B260" s="243"/>
      <c r="C260" s="244"/>
      <c r="D260" s="211"/>
      <c r="E260" s="322" t="str">
        <f>IF(D260="Yes","Impermeable liner required","")</f>
        <v/>
      </c>
      <c r="F260" s="323"/>
      <c r="G260" s="323"/>
      <c r="H260" s="324"/>
    </row>
    <row r="261" spans="1:8" x14ac:dyDescent="0.25">
      <c r="A261" s="242" t="s">
        <v>593</v>
      </c>
      <c r="B261" s="243"/>
      <c r="C261" s="244"/>
      <c r="D261" s="44"/>
      <c r="E261" s="322" t="str">
        <f>IF(D261&gt;100,"Does not meet design criteria","")</f>
        <v/>
      </c>
      <c r="F261" s="323"/>
      <c r="G261" s="323"/>
      <c r="H261" s="324"/>
    </row>
    <row r="262" spans="1:8" x14ac:dyDescent="0.25">
      <c r="A262" s="242" t="s">
        <v>594</v>
      </c>
      <c r="B262" s="243"/>
      <c r="C262" s="244"/>
      <c r="D262" s="44"/>
      <c r="E262" s="322" t="str">
        <f>IF(D262&gt;150,"Does not meet design criteria","")</f>
        <v/>
      </c>
      <c r="F262" s="323"/>
      <c r="G262" s="323"/>
      <c r="H262" s="324"/>
    </row>
    <row r="263" spans="1:8" x14ac:dyDescent="0.25">
      <c r="A263" s="242" t="s">
        <v>296</v>
      </c>
      <c r="B263" s="243"/>
      <c r="C263" s="244"/>
      <c r="D263" s="43"/>
      <c r="E263" s="322" t="str">
        <f>IF(D263="","",IF(D263&lt;2,"Impermeable liner required",""))</f>
        <v/>
      </c>
      <c r="F263" s="323"/>
      <c r="G263" s="323"/>
      <c r="H263" s="324"/>
    </row>
    <row r="264" spans="1:8" x14ac:dyDescent="0.25">
      <c r="A264" s="242" t="s">
        <v>297</v>
      </c>
      <c r="B264" s="243"/>
      <c r="C264" s="244"/>
      <c r="D264" s="43"/>
      <c r="E264" s="322" t="str">
        <f>IF(D264="","",IF(D264&lt;2,"Impermeable liner required",""))</f>
        <v/>
      </c>
      <c r="F264" s="323"/>
      <c r="G264" s="323"/>
      <c r="H264" s="324"/>
    </row>
    <row r="265" spans="1:8" x14ac:dyDescent="0.25">
      <c r="A265" s="242" t="s">
        <v>595</v>
      </c>
      <c r="B265" s="243"/>
      <c r="C265" s="244"/>
      <c r="D265" s="211"/>
      <c r="E265" s="322" t="str">
        <f>IF(D265="No","Does not meet design criteria","")</f>
        <v/>
      </c>
      <c r="F265" s="323"/>
      <c r="G265" s="323"/>
      <c r="H265" s="324"/>
    </row>
    <row r="266" spans="1:8" x14ac:dyDescent="0.25">
      <c r="A266" s="242" t="s">
        <v>558</v>
      </c>
      <c r="B266" s="243"/>
      <c r="C266" s="244"/>
      <c r="D266" s="43"/>
      <c r="E266" s="322" t="str">
        <f>IF(D266="","",IF(D266&lt;1,"Does not meet design criteria",""))</f>
        <v/>
      </c>
      <c r="F266" s="323"/>
      <c r="G266" s="323"/>
      <c r="H266" s="324"/>
    </row>
    <row r="267" spans="1:8" x14ac:dyDescent="0.25">
      <c r="A267" s="242" t="s">
        <v>402</v>
      </c>
      <c r="B267" s="243"/>
      <c r="C267" s="244"/>
      <c r="D267" s="43"/>
      <c r="E267" s="322" t="str">
        <f>IF(D267="","",IF(D267&lt;14,"Does not meet design criteria",""))</f>
        <v/>
      </c>
      <c r="F267" s="323"/>
      <c r="G267" s="323"/>
      <c r="H267" s="324"/>
    </row>
    <row r="268" spans="1:8" ht="28.5" customHeight="1" x14ac:dyDescent="0.25">
      <c r="A268" s="242" t="s">
        <v>706</v>
      </c>
      <c r="B268" s="406"/>
      <c r="C268" s="407"/>
      <c r="D268" s="43"/>
      <c r="E268" s="322" t="str">
        <f>IF(D268="","",IF(D268&lt;4,"Does not meet design standards",""))</f>
        <v/>
      </c>
      <c r="F268" s="406"/>
      <c r="G268" s="406"/>
      <c r="H268" s="407"/>
    </row>
    <row r="269" spans="1:8" ht="27" customHeight="1" x14ac:dyDescent="0.25">
      <c r="A269" s="242" t="s">
        <v>707</v>
      </c>
      <c r="B269" s="406"/>
      <c r="C269" s="407"/>
      <c r="D269" s="43"/>
      <c r="E269" s="322" t="str">
        <f>IF(D269="","",IF(D269&gt;5,"Does not meet design standards.",""))</f>
        <v/>
      </c>
      <c r="F269" s="406"/>
      <c r="G269" s="406"/>
      <c r="H269" s="407"/>
    </row>
    <row r="270" spans="1:8" x14ac:dyDescent="0.25">
      <c r="A270" s="242" t="s">
        <v>520</v>
      </c>
      <c r="B270" s="243"/>
      <c r="C270" s="244"/>
      <c r="D270" s="43"/>
      <c r="E270" s="322" t="str">
        <f>IF(D270&gt;15,"Does not meet design criteria","")</f>
        <v/>
      </c>
      <c r="F270" s="323"/>
      <c r="G270" s="323"/>
      <c r="H270" s="324"/>
    </row>
    <row r="271" spans="1:8" x14ac:dyDescent="0.25">
      <c r="A271" s="242" t="s">
        <v>521</v>
      </c>
      <c r="B271" s="243"/>
      <c r="C271" s="244"/>
      <c r="D271" s="43"/>
      <c r="E271" s="322" t="str">
        <f>IF(D271="","",IF(D271&lt;12,"Does not meet design criteria",""))</f>
        <v/>
      </c>
      <c r="F271" s="323"/>
      <c r="G271" s="323"/>
      <c r="H271" s="324"/>
    </row>
    <row r="272" spans="1:8" ht="13" x14ac:dyDescent="0.25">
      <c r="A272" s="236" t="s">
        <v>232</v>
      </c>
      <c r="B272" s="237"/>
      <c r="C272" s="237"/>
      <c r="D272" s="237"/>
      <c r="E272" s="237"/>
      <c r="F272" s="237"/>
      <c r="G272" s="237"/>
      <c r="H272" s="238"/>
    </row>
    <row r="273" spans="1:8" ht="13" x14ac:dyDescent="0.25">
      <c r="A273" s="35"/>
      <c r="B273" s="36"/>
      <c r="C273" s="36"/>
      <c r="D273" s="208" t="s">
        <v>256</v>
      </c>
      <c r="E273" s="141" t="s">
        <v>257</v>
      </c>
      <c r="F273" s="375" t="s">
        <v>258</v>
      </c>
      <c r="G273" s="376"/>
      <c r="H273" s="377"/>
    </row>
    <row r="274" spans="1:8" x14ac:dyDescent="0.25">
      <c r="A274" s="245" t="s">
        <v>596</v>
      </c>
      <c r="B274" s="245"/>
      <c r="C274" s="159" t="s">
        <v>328</v>
      </c>
      <c r="D274" s="218"/>
      <c r="E274" s="193" t="s">
        <v>329</v>
      </c>
      <c r="F274" s="345" t="s">
        <v>330</v>
      </c>
      <c r="G274" s="345"/>
      <c r="H274" s="345"/>
    </row>
    <row r="275" spans="1:8" x14ac:dyDescent="0.25">
      <c r="A275" s="245" t="s">
        <v>597</v>
      </c>
      <c r="B275" s="245"/>
      <c r="C275" s="198" t="s">
        <v>270</v>
      </c>
      <c r="D275" s="218"/>
      <c r="E275" s="192" t="s">
        <v>271</v>
      </c>
      <c r="F275" s="344" t="s">
        <v>721</v>
      </c>
      <c r="G275" s="344"/>
      <c r="H275" s="344"/>
    </row>
    <row r="276" spans="1:8" x14ac:dyDescent="0.25">
      <c r="A276" s="245" t="s">
        <v>598</v>
      </c>
      <c r="B276" s="245"/>
      <c r="C276" s="198" t="s">
        <v>599</v>
      </c>
      <c r="D276" s="160" t="str">
        <f>IF(D275="","",IF(ROUND(((43200*D274)/(D275*10)),0)&lt;2,2,ROUND(((43200*D274)/(D275*10)),0)))</f>
        <v/>
      </c>
      <c r="E276" s="192" t="s">
        <v>271</v>
      </c>
      <c r="F276" s="289"/>
      <c r="G276" s="289"/>
      <c r="H276" s="289"/>
    </row>
    <row r="277" spans="1:8" x14ac:dyDescent="0.25">
      <c r="A277" s="245" t="s">
        <v>722</v>
      </c>
      <c r="B277" s="245"/>
      <c r="C277" s="198" t="s">
        <v>599</v>
      </c>
      <c r="D277" s="218"/>
      <c r="E277" s="192" t="s">
        <v>271</v>
      </c>
      <c r="F277" s="344" t="str">
        <f>IF(D277&lt;D276,"Does not meet design criteria","")</f>
        <v/>
      </c>
      <c r="G277" s="344"/>
      <c r="H277" s="344"/>
    </row>
    <row r="278" spans="1:8" ht="13" x14ac:dyDescent="0.25">
      <c r="A278" s="236" t="s">
        <v>276</v>
      </c>
      <c r="B278" s="237"/>
      <c r="C278" s="237"/>
      <c r="D278" s="237"/>
      <c r="E278" s="237"/>
      <c r="F278" s="237"/>
      <c r="G278" s="237"/>
      <c r="H278" s="238"/>
    </row>
    <row r="279" spans="1:8" ht="13" x14ac:dyDescent="0.25">
      <c r="A279" s="335" t="s">
        <v>241</v>
      </c>
      <c r="B279" s="335"/>
      <c r="C279" s="9" t="str">
        <f>IF(A256="","",IF(D259="No",0,IF(D261&gt;100,0,IF(D262&gt;150,0,IF(D265="No",0,IF(D266&lt;1,0,IF(D267&lt;14,0,IF(D270&gt;15,0,IF(D271&lt;12,0,IF(D277&lt;D276,0,IF(D268&lt;4,0,IF(D269&gt;5,0,IF(D258="A",(F256*0.4),IF(D258="B",(F256*0.4),IF(D258="C",(F256*0.2),IF(D258="D",(F256*0.2)))))))))))))))))</f>
        <v/>
      </c>
      <c r="D279" s="339" t="s">
        <v>2</v>
      </c>
      <c r="E279" s="340"/>
      <c r="F279" s="340"/>
      <c r="G279" s="340"/>
      <c r="H279" s="341"/>
    </row>
    <row r="280" spans="1:8" x14ac:dyDescent="0.25">
      <c r="A280" s="265" t="s">
        <v>74</v>
      </c>
      <c r="B280" s="265"/>
      <c r="C280" s="212" t="str">
        <f>IF(A256="","",IF(C279=0,0,IF(D277&lt;D276,0,F256-C279)))</f>
        <v/>
      </c>
      <c r="D280" s="193" t="s">
        <v>2</v>
      </c>
      <c r="E280" s="242" t="s">
        <v>590</v>
      </c>
      <c r="F280" s="243"/>
      <c r="G280" s="243"/>
      <c r="H280" s="244"/>
    </row>
  </sheetData>
  <sheetProtection algorithmName="SHA-512" hashValue="xxa9t9boD/9+dR4Yv2qebsJ4CfDCBnYR8XQ6uN+wSdku2+Byobudgo4HJWVcBkoInHATtA8JRDnGzAmKMoy32w==" saltValue="ttXDcRsxQM4A57EyLJK8Rw==" spinCount="100000" sheet="1" formatColumns="0" formatRows="0"/>
  <mergeCells count="470">
    <mergeCell ref="A280:B280"/>
    <mergeCell ref="E280:H280"/>
    <mergeCell ref="A275:B275"/>
    <mergeCell ref="F275:H275"/>
    <mergeCell ref="A276:B276"/>
    <mergeCell ref="F276:H276"/>
    <mergeCell ref="A277:B277"/>
    <mergeCell ref="F277:H277"/>
    <mergeCell ref="A278:H278"/>
    <mergeCell ref="A279:B279"/>
    <mergeCell ref="D279:H279"/>
    <mergeCell ref="A269:C269"/>
    <mergeCell ref="E269:H269"/>
    <mergeCell ref="A270:C270"/>
    <mergeCell ref="E270:H270"/>
    <mergeCell ref="A271:C271"/>
    <mergeCell ref="E271:H271"/>
    <mergeCell ref="A272:H272"/>
    <mergeCell ref="F273:H273"/>
    <mergeCell ref="A274:B274"/>
    <mergeCell ref="F274:H274"/>
    <mergeCell ref="A264:C264"/>
    <mergeCell ref="E264:H264"/>
    <mergeCell ref="A265:C265"/>
    <mergeCell ref="E265:H265"/>
    <mergeCell ref="A266:C266"/>
    <mergeCell ref="E266:H266"/>
    <mergeCell ref="A267:C267"/>
    <mergeCell ref="E267:H267"/>
    <mergeCell ref="A268:C268"/>
    <mergeCell ref="E268:H268"/>
    <mergeCell ref="A259:C259"/>
    <mergeCell ref="E259:H259"/>
    <mergeCell ref="A260:C260"/>
    <mergeCell ref="E260:H260"/>
    <mergeCell ref="A261:C261"/>
    <mergeCell ref="E261:H261"/>
    <mergeCell ref="A262:C262"/>
    <mergeCell ref="E262:H262"/>
    <mergeCell ref="A263:C263"/>
    <mergeCell ref="E263:H263"/>
    <mergeCell ref="A250:H250"/>
    <mergeCell ref="A251:B251"/>
    <mergeCell ref="D251:H251"/>
    <mergeCell ref="A252:B252"/>
    <mergeCell ref="E252:H252"/>
    <mergeCell ref="A254:H254"/>
    <mergeCell ref="A257:H257"/>
    <mergeCell ref="A258:C258"/>
    <mergeCell ref="E258:H258"/>
    <mergeCell ref="F245:H245"/>
    <mergeCell ref="A246:B246"/>
    <mergeCell ref="F246:H246"/>
    <mergeCell ref="A247:B247"/>
    <mergeCell ref="F247:H247"/>
    <mergeCell ref="A248:B248"/>
    <mergeCell ref="F248:H248"/>
    <mergeCell ref="A249:B249"/>
    <mergeCell ref="F249:H249"/>
    <mergeCell ref="A240:C240"/>
    <mergeCell ref="E240:H240"/>
    <mergeCell ref="A241:C241"/>
    <mergeCell ref="E241:H241"/>
    <mergeCell ref="A242:C242"/>
    <mergeCell ref="E242:H242"/>
    <mergeCell ref="A243:C243"/>
    <mergeCell ref="E243:H243"/>
    <mergeCell ref="A244:H244"/>
    <mergeCell ref="A235:C235"/>
    <mergeCell ref="E235:H235"/>
    <mergeCell ref="A236:C236"/>
    <mergeCell ref="E236:H236"/>
    <mergeCell ref="A237:C237"/>
    <mergeCell ref="E237:H237"/>
    <mergeCell ref="A238:C238"/>
    <mergeCell ref="E238:H238"/>
    <mergeCell ref="A239:C239"/>
    <mergeCell ref="E239:H239"/>
    <mergeCell ref="A230:C230"/>
    <mergeCell ref="E230:H230"/>
    <mergeCell ref="A231:C231"/>
    <mergeCell ref="E231:H231"/>
    <mergeCell ref="A232:C232"/>
    <mergeCell ref="E232:H232"/>
    <mergeCell ref="A233:C233"/>
    <mergeCell ref="E233:H233"/>
    <mergeCell ref="A234:C234"/>
    <mergeCell ref="E234:H234"/>
    <mergeCell ref="A221:B221"/>
    <mergeCell ref="F221:H221"/>
    <mergeCell ref="A222:H222"/>
    <mergeCell ref="A223:B223"/>
    <mergeCell ref="D223:H223"/>
    <mergeCell ref="A224:B224"/>
    <mergeCell ref="E224:H224"/>
    <mergeCell ref="A226:H226"/>
    <mergeCell ref="A229:H229"/>
    <mergeCell ref="A215:C215"/>
    <mergeCell ref="E215:H215"/>
    <mergeCell ref="A216:H216"/>
    <mergeCell ref="F217:H217"/>
    <mergeCell ref="A218:B218"/>
    <mergeCell ref="F218:H218"/>
    <mergeCell ref="A219:B219"/>
    <mergeCell ref="F219:H219"/>
    <mergeCell ref="A220:B220"/>
    <mergeCell ref="F220:H220"/>
    <mergeCell ref="A210:C210"/>
    <mergeCell ref="E210:H210"/>
    <mergeCell ref="A211:C211"/>
    <mergeCell ref="E211:H211"/>
    <mergeCell ref="A212:C212"/>
    <mergeCell ref="E212:H212"/>
    <mergeCell ref="A213:C213"/>
    <mergeCell ref="E213:H213"/>
    <mergeCell ref="A214:C214"/>
    <mergeCell ref="E214:H214"/>
    <mergeCell ref="A205:C205"/>
    <mergeCell ref="E205:H205"/>
    <mergeCell ref="A206:C206"/>
    <mergeCell ref="E206:H206"/>
    <mergeCell ref="A207:C207"/>
    <mergeCell ref="E207:H207"/>
    <mergeCell ref="A208:C208"/>
    <mergeCell ref="E208:H208"/>
    <mergeCell ref="A209:C209"/>
    <mergeCell ref="E209:H209"/>
    <mergeCell ref="A196:B196"/>
    <mergeCell ref="E196:H196"/>
    <mergeCell ref="A198:H198"/>
    <mergeCell ref="A201:H201"/>
    <mergeCell ref="A202:C202"/>
    <mergeCell ref="E202:H202"/>
    <mergeCell ref="A203:C203"/>
    <mergeCell ref="E203:H203"/>
    <mergeCell ref="A204:C204"/>
    <mergeCell ref="E204:H204"/>
    <mergeCell ref="A191:B191"/>
    <mergeCell ref="F191:H191"/>
    <mergeCell ref="A192:B192"/>
    <mergeCell ref="F192:H192"/>
    <mergeCell ref="A193:B193"/>
    <mergeCell ref="F193:H193"/>
    <mergeCell ref="A194:H194"/>
    <mergeCell ref="A195:B195"/>
    <mergeCell ref="D195:H195"/>
    <mergeCell ref="A185:C185"/>
    <mergeCell ref="E185:H185"/>
    <mergeCell ref="A186:C186"/>
    <mergeCell ref="E186:H186"/>
    <mergeCell ref="A187:C187"/>
    <mergeCell ref="E187:H187"/>
    <mergeCell ref="A188:H188"/>
    <mergeCell ref="F189:H189"/>
    <mergeCell ref="A190:B190"/>
    <mergeCell ref="F190:H190"/>
    <mergeCell ref="A180:C180"/>
    <mergeCell ref="E180:H180"/>
    <mergeCell ref="A181:C181"/>
    <mergeCell ref="E181:H181"/>
    <mergeCell ref="A182:C182"/>
    <mergeCell ref="E182:H182"/>
    <mergeCell ref="A183:C183"/>
    <mergeCell ref="E183:H183"/>
    <mergeCell ref="A184:C184"/>
    <mergeCell ref="E184:H184"/>
    <mergeCell ref="A175:C175"/>
    <mergeCell ref="E175:H175"/>
    <mergeCell ref="A176:C176"/>
    <mergeCell ref="E176:H176"/>
    <mergeCell ref="A177:C177"/>
    <mergeCell ref="E177:H177"/>
    <mergeCell ref="A178:C178"/>
    <mergeCell ref="E178:H178"/>
    <mergeCell ref="A179:C179"/>
    <mergeCell ref="E179:H179"/>
    <mergeCell ref="A166:H166"/>
    <mergeCell ref="A167:B167"/>
    <mergeCell ref="D167:H167"/>
    <mergeCell ref="A168:B168"/>
    <mergeCell ref="E168:H168"/>
    <mergeCell ref="A170:H170"/>
    <mergeCell ref="A173:H173"/>
    <mergeCell ref="A174:C174"/>
    <mergeCell ref="E174:H174"/>
    <mergeCell ref="A160:H160"/>
    <mergeCell ref="F161:H161"/>
    <mergeCell ref="A162:B162"/>
    <mergeCell ref="F162:H162"/>
    <mergeCell ref="A163:B163"/>
    <mergeCell ref="F163:H163"/>
    <mergeCell ref="A164:B164"/>
    <mergeCell ref="F164:H164"/>
    <mergeCell ref="A165:B165"/>
    <mergeCell ref="F165:H165"/>
    <mergeCell ref="A155:C155"/>
    <mergeCell ref="E155:H155"/>
    <mergeCell ref="A156:C156"/>
    <mergeCell ref="E156:H156"/>
    <mergeCell ref="A157:C157"/>
    <mergeCell ref="E157:H157"/>
    <mergeCell ref="A158:C158"/>
    <mergeCell ref="E158:H158"/>
    <mergeCell ref="A159:C159"/>
    <mergeCell ref="E159:H159"/>
    <mergeCell ref="A150:C150"/>
    <mergeCell ref="E150:H150"/>
    <mergeCell ref="A151:C151"/>
    <mergeCell ref="E151:H151"/>
    <mergeCell ref="A152:C152"/>
    <mergeCell ref="E152:H152"/>
    <mergeCell ref="A153:C153"/>
    <mergeCell ref="E153:H153"/>
    <mergeCell ref="A154:C154"/>
    <mergeCell ref="E154:H154"/>
    <mergeCell ref="A142:H142"/>
    <mergeCell ref="A145:H145"/>
    <mergeCell ref="A146:C146"/>
    <mergeCell ref="E146:H146"/>
    <mergeCell ref="A147:C147"/>
    <mergeCell ref="E147:H147"/>
    <mergeCell ref="A148:C148"/>
    <mergeCell ref="E148:H148"/>
    <mergeCell ref="A149:C149"/>
    <mergeCell ref="E149:H149"/>
    <mergeCell ref="E101:H101"/>
    <mergeCell ref="A128:C128"/>
    <mergeCell ref="E128:H128"/>
    <mergeCell ref="A129:C129"/>
    <mergeCell ref="E129:H129"/>
    <mergeCell ref="A16:C16"/>
    <mergeCell ref="A17:C17"/>
    <mergeCell ref="E16:H16"/>
    <mergeCell ref="E17:H17"/>
    <mergeCell ref="A44:C44"/>
    <mergeCell ref="E44:H44"/>
    <mergeCell ref="A45:C45"/>
    <mergeCell ref="E45:H45"/>
    <mergeCell ref="A72:C72"/>
    <mergeCell ref="E72:H72"/>
    <mergeCell ref="A112:B112"/>
    <mergeCell ref="E112:H112"/>
    <mergeCell ref="A86:H86"/>
    <mergeCell ref="A65:C65"/>
    <mergeCell ref="E65:H65"/>
    <mergeCell ref="A66:C66"/>
    <mergeCell ref="E66:H66"/>
    <mergeCell ref="A67:C67"/>
    <mergeCell ref="E67:H67"/>
    <mergeCell ref="A136:B136"/>
    <mergeCell ref="F136:H136"/>
    <mergeCell ref="A137:B137"/>
    <mergeCell ref="F137:H137"/>
    <mergeCell ref="A139:B139"/>
    <mergeCell ref="A140:B140"/>
    <mergeCell ref="E125:H125"/>
    <mergeCell ref="E126:H126"/>
    <mergeCell ref="E127:H127"/>
    <mergeCell ref="E130:H130"/>
    <mergeCell ref="E131:H131"/>
    <mergeCell ref="F133:H133"/>
    <mergeCell ref="F134:H134"/>
    <mergeCell ref="A135:B135"/>
    <mergeCell ref="F135:H135"/>
    <mergeCell ref="A134:B134"/>
    <mergeCell ref="A138:H138"/>
    <mergeCell ref="D139:H139"/>
    <mergeCell ref="E140:H140"/>
    <mergeCell ref="I114:N114"/>
    <mergeCell ref="I115:N115"/>
    <mergeCell ref="I116:N116"/>
    <mergeCell ref="A117:H117"/>
    <mergeCell ref="I117:N117"/>
    <mergeCell ref="A121:C121"/>
    <mergeCell ref="E121:H121"/>
    <mergeCell ref="A122:C122"/>
    <mergeCell ref="E122:H122"/>
    <mergeCell ref="A114:H114"/>
    <mergeCell ref="I86:N86"/>
    <mergeCell ref="I87:N87"/>
    <mergeCell ref="I88:N88"/>
    <mergeCell ref="A89:H89"/>
    <mergeCell ref="I89:N89"/>
    <mergeCell ref="A96:C96"/>
    <mergeCell ref="E96:H96"/>
    <mergeCell ref="A97:C97"/>
    <mergeCell ref="E97:H97"/>
    <mergeCell ref="A93:C93"/>
    <mergeCell ref="E93:H93"/>
    <mergeCell ref="A94:C94"/>
    <mergeCell ref="E94:H94"/>
    <mergeCell ref="A95:C95"/>
    <mergeCell ref="E95:H95"/>
    <mergeCell ref="A90:C90"/>
    <mergeCell ref="E90:H90"/>
    <mergeCell ref="A91:C91"/>
    <mergeCell ref="E91:H91"/>
    <mergeCell ref="A92:C92"/>
    <mergeCell ref="E92:H92"/>
    <mergeCell ref="A62:C62"/>
    <mergeCell ref="E62:H62"/>
    <mergeCell ref="A63:C63"/>
    <mergeCell ref="A71:C71"/>
    <mergeCell ref="E71:H71"/>
    <mergeCell ref="A74:C74"/>
    <mergeCell ref="E74:H74"/>
    <mergeCell ref="A68:C68"/>
    <mergeCell ref="E68:H68"/>
    <mergeCell ref="A69:C69"/>
    <mergeCell ref="E69:H69"/>
    <mergeCell ref="A70:C70"/>
    <mergeCell ref="E70:H70"/>
    <mergeCell ref="A73:C73"/>
    <mergeCell ref="E73:H73"/>
    <mergeCell ref="E37:H37"/>
    <mergeCell ref="E34:H34"/>
    <mergeCell ref="A50:B50"/>
    <mergeCell ref="E46:H46"/>
    <mergeCell ref="I58:N58"/>
    <mergeCell ref="I59:N59"/>
    <mergeCell ref="I60:N60"/>
    <mergeCell ref="A61:H61"/>
    <mergeCell ref="I61:N61"/>
    <mergeCell ref="I30:N30"/>
    <mergeCell ref="I31:N31"/>
    <mergeCell ref="I32:N32"/>
    <mergeCell ref="I33:N33"/>
    <mergeCell ref="F49:H49"/>
    <mergeCell ref="A53:B53"/>
    <mergeCell ref="F53:H53"/>
    <mergeCell ref="A38:C38"/>
    <mergeCell ref="E38:H38"/>
    <mergeCell ref="A39:C39"/>
    <mergeCell ref="E39:H39"/>
    <mergeCell ref="A30:H30"/>
    <mergeCell ref="A33:H33"/>
    <mergeCell ref="A35:C35"/>
    <mergeCell ref="E35:H35"/>
    <mergeCell ref="A36:C36"/>
    <mergeCell ref="E36:H36"/>
    <mergeCell ref="A34:C34"/>
    <mergeCell ref="A51:B51"/>
    <mergeCell ref="F51:H51"/>
    <mergeCell ref="A52:B52"/>
    <mergeCell ref="F52:H52"/>
    <mergeCell ref="A48:H48"/>
    <mergeCell ref="A37:C37"/>
    <mergeCell ref="I2:N2"/>
    <mergeCell ref="I3:N3"/>
    <mergeCell ref="I4:N4"/>
    <mergeCell ref="I5:N5"/>
    <mergeCell ref="A130:C130"/>
    <mergeCell ref="A131:C131"/>
    <mergeCell ref="A132:H132"/>
    <mergeCell ref="A125:C125"/>
    <mergeCell ref="A126:C126"/>
    <mergeCell ref="A127:C127"/>
    <mergeCell ref="A123:C123"/>
    <mergeCell ref="A124:C124"/>
    <mergeCell ref="A118:C118"/>
    <mergeCell ref="E118:H118"/>
    <mergeCell ref="A119:C119"/>
    <mergeCell ref="E119:H119"/>
    <mergeCell ref="A120:C120"/>
    <mergeCell ref="E120:H120"/>
    <mergeCell ref="E123:H123"/>
    <mergeCell ref="E124:H124"/>
    <mergeCell ref="F50:H50"/>
    <mergeCell ref="A40:C40"/>
    <mergeCell ref="E40:H40"/>
    <mergeCell ref="A41:C41"/>
    <mergeCell ref="A111:B111"/>
    <mergeCell ref="A102:C102"/>
    <mergeCell ref="A103:C103"/>
    <mergeCell ref="A98:C98"/>
    <mergeCell ref="A99:C99"/>
    <mergeCell ref="E102:H102"/>
    <mergeCell ref="E103:H103"/>
    <mergeCell ref="A104:H104"/>
    <mergeCell ref="A108:B108"/>
    <mergeCell ref="A109:B109"/>
    <mergeCell ref="F105:H105"/>
    <mergeCell ref="A106:B106"/>
    <mergeCell ref="F106:H106"/>
    <mergeCell ref="A107:B107"/>
    <mergeCell ref="F107:H107"/>
    <mergeCell ref="F108:H108"/>
    <mergeCell ref="F109:H109"/>
    <mergeCell ref="E98:H98"/>
    <mergeCell ref="E99:H99"/>
    <mergeCell ref="A110:H110"/>
    <mergeCell ref="D111:H111"/>
    <mergeCell ref="A100:C100"/>
    <mergeCell ref="E100:H100"/>
    <mergeCell ref="A101:C101"/>
    <mergeCell ref="A83:B83"/>
    <mergeCell ref="A84:B84"/>
    <mergeCell ref="A80:B80"/>
    <mergeCell ref="F80:H80"/>
    <mergeCell ref="A81:B81"/>
    <mergeCell ref="F81:H81"/>
    <mergeCell ref="A82:H82"/>
    <mergeCell ref="D83:H83"/>
    <mergeCell ref="E84:H84"/>
    <mergeCell ref="A13:C13"/>
    <mergeCell ref="E13:H13"/>
    <mergeCell ref="A9:C9"/>
    <mergeCell ref="E9:H9"/>
    <mergeCell ref="A11:C11"/>
    <mergeCell ref="E11:H11"/>
    <mergeCell ref="A2:H2"/>
    <mergeCell ref="A5:H5"/>
    <mergeCell ref="A7:C7"/>
    <mergeCell ref="E7:H7"/>
    <mergeCell ref="A8:C8"/>
    <mergeCell ref="E8:H8"/>
    <mergeCell ref="A6:C6"/>
    <mergeCell ref="E6:H6"/>
    <mergeCell ref="A10:C10"/>
    <mergeCell ref="E10:H10"/>
    <mergeCell ref="A12:C12"/>
    <mergeCell ref="E12:H12"/>
    <mergeCell ref="A14:C14"/>
    <mergeCell ref="E14:H14"/>
    <mergeCell ref="A15:C15"/>
    <mergeCell ref="E15:H15"/>
    <mergeCell ref="A54:H54"/>
    <mergeCell ref="A26:H26"/>
    <mergeCell ref="A19:C19"/>
    <mergeCell ref="E19:H19"/>
    <mergeCell ref="A20:H20"/>
    <mergeCell ref="A22:B22"/>
    <mergeCell ref="F22:H22"/>
    <mergeCell ref="F21:H21"/>
    <mergeCell ref="A23:B23"/>
    <mergeCell ref="F23:H23"/>
    <mergeCell ref="A25:B25"/>
    <mergeCell ref="A24:B24"/>
    <mergeCell ref="F24:H24"/>
    <mergeCell ref="F25:H25"/>
    <mergeCell ref="E41:H41"/>
    <mergeCell ref="A42:C42"/>
    <mergeCell ref="E42:H42"/>
    <mergeCell ref="A43:C43"/>
    <mergeCell ref="E43:H43"/>
    <mergeCell ref="A46:C46"/>
    <mergeCell ref="A75:C75"/>
    <mergeCell ref="E75:H75"/>
    <mergeCell ref="A76:H76"/>
    <mergeCell ref="F77:H77"/>
    <mergeCell ref="A78:B78"/>
    <mergeCell ref="F78:H78"/>
    <mergeCell ref="A79:B79"/>
    <mergeCell ref="A18:C18"/>
    <mergeCell ref="E18:H18"/>
    <mergeCell ref="E63:H63"/>
    <mergeCell ref="A64:C64"/>
    <mergeCell ref="E64:H64"/>
    <mergeCell ref="A58:H58"/>
    <mergeCell ref="A55:B55"/>
    <mergeCell ref="A56:B56"/>
    <mergeCell ref="D55:H55"/>
    <mergeCell ref="E56:H56"/>
    <mergeCell ref="F79:H79"/>
    <mergeCell ref="A47:C47"/>
    <mergeCell ref="E47:H47"/>
    <mergeCell ref="A27:B27"/>
    <mergeCell ref="D27:H27"/>
    <mergeCell ref="A28:B28"/>
    <mergeCell ref="E28:H28"/>
  </mergeCells>
  <dataValidations count="3">
    <dataValidation type="list" showInputMessage="1" showErrorMessage="1" promptTitle="Choose Area" sqref="A4 A32 A88 A60 A116 A144 A172 A200 A228 A256" xr:uid="{DC5DA2C3-5C7F-4F10-8604-85514AC57EDA}">
      <formula1>CatchNo</formula1>
    </dataValidation>
    <dataValidation type="list" showInputMessage="1" showErrorMessage="1" promptTitle="Yes or No?" sqref="D7:D8 D13 D35:D36 D63:D64 D91:D92 D97 D41 D69 D119:D120 D125 D147:D148 D153 D175:D176 D181 D203:D204 D209 D231:D232 D237 D259:D260 D265" xr:uid="{173A0C39-00E5-4069-9123-1956B6FA0791}">
      <formula1>YesNo</formula1>
    </dataValidation>
    <dataValidation type="decimal" operator="greaterThan" allowBlank="1" showInputMessage="1" showErrorMessage="1" sqref="D9:D12 D14:D19 D22:D23 D25 D42:D47 D37:D40 D50:D51 D53 D70:D75 D65:D68 D78:D79 D81 D98:D103 D93:D96 D106:D107 D109 D126:D131 D121:D124 D134:D135 D137 D154:D159 D149:D152 D162:D163 D165 D182:D187 D177:D180 D190:D191 D193 D210:D215 D205:D208 D218:D219 D221 D238:D243 D233:D236 D246:D247 D249 D266:D271 D261:D264 D274:D275 D277" xr:uid="{BA785B1D-7C3A-48B0-90E7-4D0AB82510A8}">
      <formula1>0</formula1>
    </dataValidation>
  </dataValidations>
  <pageMargins left="0.5" right="0.5" top="0.75" bottom="0.5" header="0.3" footer="0.3"/>
  <pageSetup paperSize="278" orientation="portrait" r:id="rId1"/>
  <headerFooter>
    <oddHeader>&amp;C&amp;"Arial,Regular"&amp;18Bioslope (F-6)</oddHeader>
  </headerFooter>
  <rowBreaks count="10" manualBreakCount="10">
    <brk id="28" max="16383" man="1"/>
    <brk id="56" max="16383" man="1"/>
    <brk id="84" max="16383" man="1"/>
    <brk id="112" max="16383" man="1"/>
    <brk id="140" max="16383" man="1"/>
    <brk id="168" max="16383" man="1"/>
    <brk id="196" max="16383" man="1"/>
    <brk id="224" max="16383" man="1"/>
    <brk id="252" max="16383" man="1"/>
    <brk id="28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5A3B418-16B7-4F45-B263-C16D8A4E3257}">
          <x14:formula1>
            <xm:f>Reference!$A$12:$A$15</xm:f>
          </x14:formula1>
          <xm:sqref>D6 D34 D90 D62 D118 D146 D174 D202 D230 D258</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N390"/>
  <sheetViews>
    <sheetView view="pageLayout" zoomScaleNormal="100" zoomScaleSheetLayoutView="55" workbookViewId="0">
      <selection activeCell="K3" sqref="K3"/>
    </sheetView>
  </sheetViews>
  <sheetFormatPr defaultColWidth="9.1796875" defaultRowHeight="12.5" x14ac:dyDescent="0.25"/>
  <cols>
    <col min="1" max="1" width="12.7265625" style="4" customWidth="1"/>
    <col min="2" max="2" width="14.81640625" style="4" customWidth="1"/>
    <col min="3" max="3" width="11.453125" style="4" customWidth="1"/>
    <col min="4" max="4" width="10.7265625" style="4" customWidth="1"/>
    <col min="5" max="5" width="6.453125" style="4" customWidth="1"/>
    <col min="6" max="6" width="8.54296875" style="4" customWidth="1"/>
    <col min="7" max="7" width="12.7265625" style="4" customWidth="1"/>
    <col min="8" max="8" width="15.26953125" style="4" customWidth="1"/>
    <col min="9" max="9" width="8.453125" style="4" customWidth="1"/>
    <col min="10" max="10" width="12.7265625" style="4" customWidth="1"/>
    <col min="11" max="13" width="9.1796875" style="4" customWidth="1"/>
    <col min="14" max="16384" width="9.1796875" style="4"/>
  </cols>
  <sheetData>
    <row r="1" spans="1:14" ht="18" customHeight="1" x14ac:dyDescent="0.25">
      <c r="A1" s="161" t="s">
        <v>56</v>
      </c>
      <c r="B1" s="162" t="str">
        <f>IF('STEP 2-WQv Calculation'!$B$4="","",'STEP 2-WQv Calculation'!$B$4)</f>
        <v/>
      </c>
      <c r="C1" s="163"/>
      <c r="D1" s="163"/>
      <c r="E1" s="163"/>
      <c r="F1" s="163"/>
      <c r="G1" s="163"/>
      <c r="H1" s="163"/>
    </row>
    <row r="2" spans="1:14" ht="15" customHeight="1" x14ac:dyDescent="0.3">
      <c r="A2" s="360" t="s">
        <v>293</v>
      </c>
      <c r="B2" s="361"/>
      <c r="C2" s="361"/>
      <c r="D2" s="361"/>
      <c r="E2" s="361"/>
      <c r="F2" s="361"/>
      <c r="G2" s="361"/>
      <c r="H2" s="362"/>
      <c r="I2" s="438" t="s">
        <v>219</v>
      </c>
      <c r="J2" s="256"/>
      <c r="K2" s="49">
        <f>SUM(B4,B43,B82,B121,B160,B199,B238,B277,B316,B355)</f>
        <v>0</v>
      </c>
      <c r="L2" s="12" t="s">
        <v>223</v>
      </c>
      <c r="M2" s="145"/>
      <c r="N2" s="145"/>
    </row>
    <row r="3" spans="1:14" ht="46.75" customHeight="1" x14ac:dyDescent="0.25">
      <c r="A3" s="164" t="s">
        <v>60</v>
      </c>
      <c r="B3" s="165" t="s">
        <v>600</v>
      </c>
      <c r="C3" s="165" t="s">
        <v>601</v>
      </c>
      <c r="D3" s="165" t="s">
        <v>602</v>
      </c>
      <c r="E3" s="165" t="s">
        <v>64</v>
      </c>
      <c r="F3" s="165" t="s">
        <v>603</v>
      </c>
      <c r="G3" s="165" t="s">
        <v>604</v>
      </c>
      <c r="H3" s="166" t="s">
        <v>13</v>
      </c>
      <c r="I3" s="438" t="s">
        <v>245</v>
      </c>
      <c r="J3" s="256"/>
      <c r="K3" s="21">
        <f>SUM(C4,C43,C82,C121,C160,C299,C238,C277,C316,C355)</f>
        <v>0</v>
      </c>
      <c r="L3" s="12" t="s">
        <v>223</v>
      </c>
      <c r="M3" s="145"/>
      <c r="N3" s="145"/>
    </row>
    <row r="4" spans="1:14" ht="30.25" customHeight="1" x14ac:dyDescent="0.25">
      <c r="A4" s="178"/>
      <c r="B4" s="167" t="str">
        <f>IF($A4="","",(LOOKUP($A4,'STEP 2-WQv Calculation'!$A$8:$A$37,'STEP 2-WQv Calculation'!$B$8:$B$37)))</f>
        <v/>
      </c>
      <c r="C4" s="167" t="str">
        <f>IF($A4="","",(LOOKUP($A4,'STEP 2-WQv Calculation'!$A$8:$A$37,'STEP 2-WQv Calculation'!$C$8:$C$37)))</f>
        <v/>
      </c>
      <c r="D4" s="168" t="str">
        <f>IF($A4="","",(LOOKUP($A4,'STEP 2-WQv Calculation'!$A$8:$A$37,'STEP 2-WQv Calculation'!$D$8:$D$37)))</f>
        <v/>
      </c>
      <c r="E4" s="167" t="str">
        <f>IF($A4="","",(LOOKUP($A4,'STEP 2-WQv Calculation'!$A$8:$A$37,'STEP 2-WQv Calculation'!$E$8:$E$37)))</f>
        <v/>
      </c>
      <c r="F4" s="169" t="str">
        <f>IF($A4="","",(LOOKUP($A4,'STEP 2-WQv Calculation'!$A$8:$A$37,'STEP 2-WQv Calculation'!$F$8:$F$37)))</f>
        <v/>
      </c>
      <c r="G4" s="170">
        <f>'STEP 2-WQv Calculation'!$B$5</f>
        <v>0</v>
      </c>
      <c r="H4" s="171" t="str">
        <f>IF($A4="","",(LOOKUP($A4,'STEP 2-WQv Calculation'!$A$8:$A$37,'STEP 2-WQv Calculation'!$G$8:$G$37)))</f>
        <v/>
      </c>
      <c r="I4" s="438" t="s">
        <v>227</v>
      </c>
      <c r="J4" s="256"/>
      <c r="K4" s="28">
        <f>SUM(D38,D77,D116,D155,D194,D233,D272,D311,D350,D389)</f>
        <v>0</v>
      </c>
      <c r="L4" s="12" t="s">
        <v>2</v>
      </c>
      <c r="M4" s="145"/>
      <c r="N4" s="145"/>
    </row>
    <row r="5" spans="1:14" ht="13" x14ac:dyDescent="0.3">
      <c r="A5" s="360" t="s">
        <v>226</v>
      </c>
      <c r="B5" s="361"/>
      <c r="C5" s="361"/>
      <c r="D5" s="361"/>
      <c r="E5" s="361"/>
      <c r="F5" s="361"/>
      <c r="G5" s="361"/>
      <c r="H5" s="362"/>
      <c r="I5" s="439" t="s">
        <v>447</v>
      </c>
      <c r="J5" s="414"/>
      <c r="K5" s="28">
        <f>SUM(D39,D78,D117,D156,D195,D234,D273,D312,D351,D390)</f>
        <v>0</v>
      </c>
      <c r="L5" s="12" t="s">
        <v>2</v>
      </c>
      <c r="M5" s="172"/>
      <c r="N5" s="172"/>
    </row>
    <row r="6" spans="1:14" ht="15" customHeight="1" x14ac:dyDescent="0.25">
      <c r="A6" s="354" t="s">
        <v>325</v>
      </c>
      <c r="B6" s="355"/>
      <c r="C6" s="356"/>
      <c r="D6" s="139"/>
      <c r="E6" s="357"/>
      <c r="F6" s="358"/>
      <c r="G6" s="358"/>
      <c r="H6" s="359"/>
    </row>
    <row r="7" spans="1:14" ht="27" customHeight="1" x14ac:dyDescent="0.25">
      <c r="A7" s="242" t="s">
        <v>592</v>
      </c>
      <c r="B7" s="243"/>
      <c r="C7" s="244"/>
      <c r="D7" s="139"/>
      <c r="E7" s="322" t="str">
        <f>IF(D7="Yes","Impermeable liner required","")</f>
        <v/>
      </c>
      <c r="F7" s="323"/>
      <c r="G7" s="323"/>
      <c r="H7" s="324"/>
    </row>
    <row r="8" spans="1:14" s="1" customFormat="1" ht="27" customHeight="1" x14ac:dyDescent="0.35">
      <c r="A8" s="242" t="s">
        <v>589</v>
      </c>
      <c r="B8" s="243"/>
      <c r="C8" s="244"/>
      <c r="D8" s="211"/>
      <c r="E8" s="322" t="str">
        <f>IF(D8="","Refer to Section 4.14 Stormwater Hotspots",IF(D8="Yes","Credit for RRv and WQv treated cannot be applied to first practice in series",""))</f>
        <v>Refer to Section 4.14 Stormwater Hotspots</v>
      </c>
      <c r="F8" s="323"/>
      <c r="G8" s="323"/>
      <c r="H8" s="324"/>
      <c r="I8" s="4"/>
    </row>
    <row r="9" spans="1:14" ht="14.5" x14ac:dyDescent="0.35">
      <c r="A9" s="242" t="s">
        <v>326</v>
      </c>
      <c r="B9" s="243"/>
      <c r="C9" s="244"/>
      <c r="D9" s="135" t="str">
        <f>IF(B4="","",IF(B4&gt;5,"Yes","No"))</f>
        <v/>
      </c>
      <c r="E9" s="322" t="str">
        <f>IF(D9="Yes","Does not meet design criteria","")</f>
        <v/>
      </c>
      <c r="F9" s="323"/>
      <c r="G9" s="323"/>
      <c r="H9" s="324"/>
      <c r="L9" s="1"/>
    </row>
    <row r="10" spans="1:14" ht="14.5" x14ac:dyDescent="0.35">
      <c r="A10" s="242" t="s">
        <v>296</v>
      </c>
      <c r="B10" s="243"/>
      <c r="C10" s="244"/>
      <c r="D10" s="139"/>
      <c r="E10" s="322" t="str">
        <f>IF(D10="","",IF(D10&lt;2,"Impermeable liner required",""))</f>
        <v/>
      </c>
      <c r="F10" s="323"/>
      <c r="G10" s="323"/>
      <c r="H10" s="324"/>
      <c r="L10" s="1"/>
    </row>
    <row r="11" spans="1:14" ht="14.5" x14ac:dyDescent="0.35">
      <c r="A11" s="242" t="s">
        <v>297</v>
      </c>
      <c r="B11" s="243"/>
      <c r="C11" s="244"/>
      <c r="D11" s="139"/>
      <c r="E11" s="322" t="str">
        <f>IF(D11="","",IF(D11&lt;2,"Impermeable liner required",""))</f>
        <v/>
      </c>
      <c r="F11" s="323"/>
      <c r="G11" s="323"/>
      <c r="H11" s="324"/>
      <c r="L11" s="1"/>
    </row>
    <row r="12" spans="1:14" ht="14.5" x14ac:dyDescent="0.35">
      <c r="A12" s="242" t="s">
        <v>507</v>
      </c>
      <c r="B12" s="243"/>
      <c r="C12" s="244"/>
      <c r="D12" s="139"/>
      <c r="E12" s="322" t="str">
        <f>IF(D12="","",IF(D12&lt;(F4*0.1),"Does not meet design crtieria",""))</f>
        <v/>
      </c>
      <c r="F12" s="323"/>
      <c r="G12" s="323"/>
      <c r="H12" s="324"/>
      <c r="L12" s="1"/>
    </row>
    <row r="13" spans="1:14" x14ac:dyDescent="0.25">
      <c r="A13" s="242" t="s">
        <v>605</v>
      </c>
      <c r="B13" s="243"/>
      <c r="C13" s="244"/>
      <c r="D13" s="139"/>
      <c r="E13" s="322" t="str">
        <f>IF(D13="","",IF(D13=30,"","Does not meet design criteria"))</f>
        <v/>
      </c>
      <c r="F13" s="323"/>
      <c r="G13" s="323"/>
      <c r="H13" s="324"/>
    </row>
    <row r="14" spans="1:14" ht="15" customHeight="1" x14ac:dyDescent="0.25">
      <c r="A14" s="242" t="s">
        <v>402</v>
      </c>
      <c r="B14" s="243"/>
      <c r="C14" s="244"/>
      <c r="D14" s="139"/>
      <c r="E14" s="322" t="str">
        <f>IF(D14="","",IF(D14&gt;=10,"","Does not meet design criteria"))</f>
        <v/>
      </c>
      <c r="F14" s="323"/>
      <c r="G14" s="323"/>
      <c r="H14" s="324"/>
    </row>
    <row r="15" spans="1:14" x14ac:dyDescent="0.25">
      <c r="A15" s="242" t="s">
        <v>552</v>
      </c>
      <c r="B15" s="243"/>
      <c r="C15" s="244"/>
      <c r="D15" s="139"/>
      <c r="E15" s="322" t="str">
        <f>IF(D15="No","Does not meet design criteria","")</f>
        <v/>
      </c>
      <c r="F15" s="323"/>
      <c r="G15" s="323"/>
      <c r="H15" s="324"/>
    </row>
    <row r="16" spans="1:14" ht="30.25" customHeight="1" x14ac:dyDescent="0.3">
      <c r="A16" s="433" t="s">
        <v>232</v>
      </c>
      <c r="B16" s="434"/>
      <c r="C16" s="434"/>
      <c r="D16" s="361"/>
      <c r="E16" s="361"/>
      <c r="F16" s="361"/>
      <c r="G16" s="361"/>
      <c r="H16" s="362"/>
    </row>
    <row r="17" spans="1:8" ht="15" customHeight="1" x14ac:dyDescent="0.3">
      <c r="A17" s="346"/>
      <c r="B17" s="347"/>
      <c r="C17" s="348"/>
      <c r="D17" s="47" t="s">
        <v>256</v>
      </c>
      <c r="E17" s="48" t="s">
        <v>257</v>
      </c>
      <c r="F17" s="349" t="s">
        <v>258</v>
      </c>
      <c r="G17" s="350"/>
      <c r="H17" s="351"/>
    </row>
    <row r="18" spans="1:8" x14ac:dyDescent="0.25">
      <c r="A18" s="289" t="s">
        <v>331</v>
      </c>
      <c r="B18" s="289"/>
      <c r="C18" s="159" t="s">
        <v>332</v>
      </c>
      <c r="D18" s="140"/>
      <c r="E18" s="193" t="s">
        <v>271</v>
      </c>
      <c r="F18" s="345" t="str">
        <f>IF(D18="","",IF(D18&lt;2,"Does not meet design criteria",IF(D18&gt;8,"Does not meet design criteria","")))</f>
        <v/>
      </c>
      <c r="G18" s="345"/>
      <c r="H18" s="345"/>
    </row>
    <row r="19" spans="1:8" x14ac:dyDescent="0.25">
      <c r="A19" s="289" t="s">
        <v>606</v>
      </c>
      <c r="B19" s="289"/>
      <c r="C19" s="159" t="s">
        <v>336</v>
      </c>
      <c r="D19" s="179"/>
      <c r="E19" s="193" t="s">
        <v>337</v>
      </c>
      <c r="F19" s="345" t="str">
        <f>IF(D19="","",IF(D19&lt;3,"Does not meet design criteria",""))</f>
        <v/>
      </c>
      <c r="G19" s="345"/>
      <c r="H19" s="345"/>
    </row>
    <row r="20" spans="1:8" x14ac:dyDescent="0.25">
      <c r="A20" s="289" t="s">
        <v>333</v>
      </c>
      <c r="B20" s="289"/>
      <c r="C20" s="159" t="s">
        <v>334</v>
      </c>
      <c r="D20" s="179"/>
      <c r="E20" s="193" t="s">
        <v>271</v>
      </c>
      <c r="F20" s="345"/>
      <c r="G20" s="345"/>
      <c r="H20" s="345"/>
    </row>
    <row r="21" spans="1:8" x14ac:dyDescent="0.25">
      <c r="A21" s="289" t="s">
        <v>338</v>
      </c>
      <c r="B21" s="289"/>
      <c r="C21" s="159" t="s">
        <v>339</v>
      </c>
      <c r="D21" s="160">
        <f>D18+(2*D19)*D20</f>
        <v>0</v>
      </c>
      <c r="E21" s="193" t="s">
        <v>271</v>
      </c>
      <c r="F21" s="345"/>
      <c r="G21" s="345"/>
      <c r="H21" s="345"/>
    </row>
    <row r="22" spans="1:8" x14ac:dyDescent="0.25">
      <c r="A22" s="289" t="s">
        <v>607</v>
      </c>
      <c r="B22" s="289"/>
      <c r="C22" s="159" t="s">
        <v>343</v>
      </c>
      <c r="D22" s="173">
        <f>(D21+D18)*D20/2</f>
        <v>0</v>
      </c>
      <c r="E22" s="193" t="s">
        <v>316</v>
      </c>
      <c r="F22" s="345"/>
      <c r="G22" s="345"/>
      <c r="H22" s="345"/>
    </row>
    <row r="23" spans="1:8" x14ac:dyDescent="0.25">
      <c r="A23" s="289" t="s">
        <v>608</v>
      </c>
      <c r="B23" s="289"/>
      <c r="C23" s="159" t="s">
        <v>349</v>
      </c>
      <c r="D23" s="173" t="str">
        <f>IF(F4="","",ROUNDUP(F4/D22,0))</f>
        <v/>
      </c>
      <c r="E23" s="193" t="s">
        <v>271</v>
      </c>
      <c r="F23" s="345"/>
      <c r="G23" s="345"/>
      <c r="H23" s="345"/>
    </row>
    <row r="24" spans="1:8" ht="15" customHeight="1" x14ac:dyDescent="0.25">
      <c r="A24" s="289" t="s">
        <v>609</v>
      </c>
      <c r="B24" s="289"/>
      <c r="C24" s="159" t="s">
        <v>351</v>
      </c>
      <c r="D24" s="140"/>
      <c r="E24" s="193" t="s">
        <v>271</v>
      </c>
      <c r="F24" s="345" t="str">
        <f>IF(D24="","",IF(D24&lt;D23,"Does not meet design criteria",""))</f>
        <v/>
      </c>
      <c r="G24" s="345"/>
      <c r="H24" s="345"/>
    </row>
    <row r="25" spans="1:8" ht="15" customHeight="1" x14ac:dyDescent="0.25">
      <c r="A25" s="289" t="s">
        <v>610</v>
      </c>
      <c r="B25" s="289"/>
      <c r="C25" s="159" t="s">
        <v>611</v>
      </c>
      <c r="D25" s="174">
        <f>IF(D22="","",D22*D24)</f>
        <v>0</v>
      </c>
      <c r="E25" s="193" t="s">
        <v>2</v>
      </c>
      <c r="F25" s="345" t="str">
        <f>IF(F4="","",IF(D25&lt;F4,"Does not meet sizing criteria",""))</f>
        <v/>
      </c>
      <c r="G25" s="345"/>
      <c r="H25" s="345"/>
    </row>
    <row r="26" spans="1:8" x14ac:dyDescent="0.25">
      <c r="A26" s="289" t="s">
        <v>354</v>
      </c>
      <c r="B26" s="289"/>
      <c r="C26" s="159" t="s">
        <v>355</v>
      </c>
      <c r="D26" s="140"/>
      <c r="E26" s="193" t="s">
        <v>271</v>
      </c>
      <c r="F26" s="345" t="str">
        <f>IF(D26="","",IF(D26&gt;1,"Does not meet design criteria",""))</f>
        <v/>
      </c>
      <c r="G26" s="345"/>
      <c r="H26" s="345"/>
    </row>
    <row r="27" spans="1:8" x14ac:dyDescent="0.25">
      <c r="A27" s="266" t="s">
        <v>356</v>
      </c>
      <c r="B27" s="268"/>
      <c r="C27" s="159" t="s">
        <v>357</v>
      </c>
      <c r="D27" s="62" t="str">
        <f>IF(D26="","",ROUNDUP(D26/D34,0))</f>
        <v/>
      </c>
      <c r="E27" s="193" t="s">
        <v>271</v>
      </c>
      <c r="F27" s="435"/>
      <c r="G27" s="436"/>
      <c r="H27" s="437"/>
    </row>
    <row r="28" spans="1:8" x14ac:dyDescent="0.25">
      <c r="A28" s="289" t="s">
        <v>358</v>
      </c>
      <c r="B28" s="289"/>
      <c r="C28" s="159" t="s">
        <v>217</v>
      </c>
      <c r="D28" s="62" t="str">
        <f>IF(D27="","",ROUNDUP(D24/D27,0))</f>
        <v/>
      </c>
      <c r="E28" s="193"/>
      <c r="F28" s="345"/>
      <c r="G28" s="345"/>
      <c r="H28" s="345"/>
    </row>
    <row r="29" spans="1:8" x14ac:dyDescent="0.25">
      <c r="A29" s="289" t="s">
        <v>612</v>
      </c>
      <c r="B29" s="289"/>
      <c r="C29" s="159" t="s">
        <v>613</v>
      </c>
      <c r="D29" s="179"/>
      <c r="E29" s="193" t="s">
        <v>271</v>
      </c>
      <c r="F29" s="345"/>
      <c r="G29" s="345"/>
      <c r="H29" s="345"/>
    </row>
    <row r="30" spans="1:8" x14ac:dyDescent="0.25">
      <c r="A30" s="289" t="s">
        <v>614</v>
      </c>
      <c r="B30" s="289"/>
      <c r="C30" s="159" t="s">
        <v>615</v>
      </c>
      <c r="D30" s="160">
        <f>D18+(2*D19)*D29</f>
        <v>0</v>
      </c>
      <c r="E30" s="193" t="s">
        <v>271</v>
      </c>
      <c r="F30" s="345"/>
      <c r="G30" s="345"/>
      <c r="H30" s="345"/>
    </row>
    <row r="31" spans="1:8" x14ac:dyDescent="0.25">
      <c r="A31" s="289" t="s">
        <v>616</v>
      </c>
      <c r="B31" s="289"/>
      <c r="C31" s="159" t="s">
        <v>617</v>
      </c>
      <c r="D31" s="173">
        <f>(D29*(D18+D30))/2</f>
        <v>0</v>
      </c>
      <c r="E31" s="193" t="s">
        <v>316</v>
      </c>
      <c r="F31" s="345"/>
      <c r="G31" s="345"/>
      <c r="H31" s="345"/>
    </row>
    <row r="32" spans="1:8" x14ac:dyDescent="0.25">
      <c r="A32" s="289" t="s">
        <v>618</v>
      </c>
      <c r="B32" s="289"/>
      <c r="C32" s="159" t="s">
        <v>619</v>
      </c>
      <c r="D32" s="173">
        <f>D18+((D29^2)+((D19*D29)^2)^0.5)*2</f>
        <v>0</v>
      </c>
      <c r="E32" s="193" t="s">
        <v>271</v>
      </c>
      <c r="F32" s="345"/>
      <c r="G32" s="345"/>
      <c r="H32" s="345"/>
    </row>
    <row r="33" spans="1:9" x14ac:dyDescent="0.25">
      <c r="A33" s="289" t="s">
        <v>620</v>
      </c>
      <c r="B33" s="289"/>
      <c r="C33" s="159" t="s">
        <v>268</v>
      </c>
      <c r="D33" s="180"/>
      <c r="E33" s="193"/>
      <c r="F33" s="345"/>
      <c r="G33" s="345"/>
      <c r="H33" s="345"/>
    </row>
    <row r="34" spans="1:9" x14ac:dyDescent="0.25">
      <c r="A34" s="289" t="s">
        <v>621</v>
      </c>
      <c r="B34" s="289"/>
      <c r="C34" s="159" t="s">
        <v>214</v>
      </c>
      <c r="D34" s="180"/>
      <c r="E34" s="193" t="s">
        <v>266</v>
      </c>
      <c r="F34" s="345" t="str">
        <f>IF(D34="","",IF(D34&lt;0.005,"Does not meet design criteria",IF(D34&gt;0.04,"Does not meet design criteria","")))</f>
        <v/>
      </c>
      <c r="G34" s="345"/>
      <c r="H34" s="345"/>
    </row>
    <row r="35" spans="1:9" ht="15" customHeight="1" x14ac:dyDescent="0.25">
      <c r="A35" s="289" t="s">
        <v>622</v>
      </c>
      <c r="B35" s="289"/>
      <c r="C35" s="159" t="s">
        <v>345</v>
      </c>
      <c r="D35" s="173" t="str">
        <f>IF(D34="","",ROUNDUP((1.49/D33)*((D31/D32)^(2/3))*(D34^(1/2)),2))</f>
        <v/>
      </c>
      <c r="E35" s="193" t="s">
        <v>346</v>
      </c>
      <c r="F35" s="345" t="str">
        <f>IF(D34="","",IF(D35&gt;5,"Does not meet design criteria",""))</f>
        <v/>
      </c>
      <c r="G35" s="345"/>
      <c r="H35" s="345"/>
    </row>
    <row r="36" spans="1:9" ht="15" customHeight="1" x14ac:dyDescent="0.25">
      <c r="A36" s="289" t="s">
        <v>623</v>
      </c>
      <c r="B36" s="289"/>
      <c r="C36" s="159"/>
      <c r="D36" s="140"/>
      <c r="E36" s="193" t="s">
        <v>271</v>
      </c>
      <c r="F36" s="345" t="str">
        <f>IF(D36="","",IF(D36&lt;0.5,"Does not meet design criteria",""))</f>
        <v/>
      </c>
      <c r="G36" s="345"/>
      <c r="H36" s="345"/>
    </row>
    <row r="37" spans="1:9" ht="15" customHeight="1" x14ac:dyDescent="0.3">
      <c r="A37" s="424" t="s">
        <v>372</v>
      </c>
      <c r="B37" s="425"/>
      <c r="C37" s="425"/>
      <c r="D37" s="361"/>
      <c r="E37" s="361"/>
      <c r="F37" s="425"/>
      <c r="G37" s="425"/>
      <c r="H37" s="426"/>
    </row>
    <row r="38" spans="1:9" ht="15" customHeight="1" x14ac:dyDescent="0.3">
      <c r="A38" s="427" t="s">
        <v>241</v>
      </c>
      <c r="B38" s="428"/>
      <c r="C38" s="429"/>
      <c r="D38" s="175" t="str">
        <f>IF(A4="","",IF(D8="Yes",0,IF(B4="",0,IF(D9="Yes",0,IF(D12&lt;(F4*0.1),0,IF(D13&lt;30,0,IF(D14&lt;10,0,IF(D15="No",0,IF(D18&lt;2,0,IF(D18&gt;8,0,IF(D19&lt;3,0,IF(D34&lt;0.005,0,IF(D34&gt;0.04,0,IF(D24&lt;D23,0,IF(D35&gt;5,0,IF(D36&lt;0.5,0,IF(D6="A",(F4*0.4),IF(D6="B",(F4*0.4),IF(D6="C",(F4*0.2),IF(D6="D",(F4*0.2)))))))))))))))))))))</f>
        <v/>
      </c>
      <c r="E38" s="430" t="s">
        <v>2</v>
      </c>
      <c r="F38" s="431"/>
      <c r="G38" s="431"/>
      <c r="H38" s="432"/>
    </row>
    <row r="39" spans="1:9" ht="27" customHeight="1" x14ac:dyDescent="0.25">
      <c r="A39" s="420" t="s">
        <v>74</v>
      </c>
      <c r="B39" s="421"/>
      <c r="C39" s="421"/>
      <c r="D39" s="176" t="str">
        <f>IF(A4="","",IF(D8="Yes",0,IF(B4="",0,F4-D38)))</f>
        <v/>
      </c>
      <c r="E39" s="177" t="s">
        <v>2</v>
      </c>
      <c r="F39" s="422" t="s">
        <v>624</v>
      </c>
      <c r="G39" s="423"/>
      <c r="H39" s="423"/>
    </row>
    <row r="40" spans="1:9" ht="13.15" customHeight="1" x14ac:dyDescent="0.25">
      <c r="A40" s="161" t="s">
        <v>56</v>
      </c>
      <c r="B40" s="162" t="str">
        <f>IF('STEP 2-WQv Calculation'!$B$4="","",'STEP 2-WQv Calculation'!$B$4)</f>
        <v/>
      </c>
      <c r="C40" s="163"/>
      <c r="D40" s="163"/>
      <c r="E40" s="163"/>
      <c r="F40" s="163"/>
      <c r="G40" s="163"/>
      <c r="H40" s="163"/>
    </row>
    <row r="41" spans="1:9" ht="13.15" customHeight="1" x14ac:dyDescent="0.3">
      <c r="A41" s="360" t="s">
        <v>293</v>
      </c>
      <c r="B41" s="361"/>
      <c r="C41" s="361"/>
      <c r="D41" s="361"/>
      <c r="E41" s="361"/>
      <c r="F41" s="361"/>
      <c r="G41" s="361"/>
      <c r="H41" s="362"/>
    </row>
    <row r="42" spans="1:9" ht="39" customHeight="1" x14ac:dyDescent="0.25">
      <c r="A42" s="164" t="s">
        <v>60</v>
      </c>
      <c r="B42" s="165" t="s">
        <v>600</v>
      </c>
      <c r="C42" s="165" t="s">
        <v>601</v>
      </c>
      <c r="D42" s="165" t="s">
        <v>602</v>
      </c>
      <c r="E42" s="165" t="s">
        <v>64</v>
      </c>
      <c r="F42" s="165" t="s">
        <v>603</v>
      </c>
      <c r="G42" s="165" t="s">
        <v>604</v>
      </c>
      <c r="H42" s="166" t="s">
        <v>13</v>
      </c>
    </row>
    <row r="43" spans="1:9" x14ac:dyDescent="0.25">
      <c r="A43" s="178"/>
      <c r="B43" s="167" t="str">
        <f>IF($A43="","",(LOOKUP($A43,'STEP 2-WQv Calculation'!$A$8:$A$37,'STEP 2-WQv Calculation'!$B$8:$B$37)))</f>
        <v/>
      </c>
      <c r="C43" s="167" t="str">
        <f>IF($A43="","",(LOOKUP($A43,'STEP 2-WQv Calculation'!$A$8:$A$37,'STEP 2-WQv Calculation'!$C$8:$C$37)))</f>
        <v/>
      </c>
      <c r="D43" s="168" t="str">
        <f>IF($A43="","",(LOOKUP($A43,'STEP 2-WQv Calculation'!$A$8:$A$37,'STEP 2-WQv Calculation'!$D$8:$D$37)))</f>
        <v/>
      </c>
      <c r="E43" s="167" t="str">
        <f>IF($A43="","",(LOOKUP($A43,'STEP 2-WQv Calculation'!$A$8:$A$37,'STEP 2-WQv Calculation'!$E$8:$E$37)))</f>
        <v/>
      </c>
      <c r="F43" s="169" t="str">
        <f>IF($A43="","",(LOOKUP($A43,'STEP 2-WQv Calculation'!$A$8:$A$37,'STEP 2-WQv Calculation'!$F$8:$F$37)))</f>
        <v/>
      </c>
      <c r="G43" s="170">
        <f>'STEP 2-WQv Calculation'!$B$5</f>
        <v>0</v>
      </c>
      <c r="H43" s="171" t="str">
        <f>IF($A43="","",(LOOKUP($A43,'STEP 2-WQv Calculation'!$A$8:$A$37,'STEP 2-WQv Calculation'!$G$8:$G$37)))</f>
        <v/>
      </c>
    </row>
    <row r="44" spans="1:9" ht="13.15" customHeight="1" x14ac:dyDescent="0.3">
      <c r="A44" s="360" t="s">
        <v>226</v>
      </c>
      <c r="B44" s="361"/>
      <c r="C44" s="361"/>
      <c r="D44" s="361"/>
      <c r="E44" s="361"/>
      <c r="F44" s="361"/>
      <c r="G44" s="361"/>
      <c r="H44" s="362"/>
    </row>
    <row r="45" spans="1:9" x14ac:dyDescent="0.25">
      <c r="A45" s="354" t="s">
        <v>325</v>
      </c>
      <c r="B45" s="355"/>
      <c r="C45" s="356"/>
      <c r="D45" s="139"/>
      <c r="E45" s="357"/>
      <c r="F45" s="358"/>
      <c r="G45" s="358"/>
      <c r="H45" s="359"/>
    </row>
    <row r="46" spans="1:9" ht="30.25" customHeight="1" x14ac:dyDescent="0.25">
      <c r="A46" s="242" t="s">
        <v>592</v>
      </c>
      <c r="B46" s="243"/>
      <c r="C46" s="244"/>
      <c r="D46" s="139"/>
      <c r="E46" s="322" t="str">
        <f>IF(D46="Yes","Impermeable liner required","")</f>
        <v/>
      </c>
      <c r="F46" s="323"/>
      <c r="G46" s="323"/>
      <c r="H46" s="324"/>
    </row>
    <row r="47" spans="1:9" s="1" customFormat="1" ht="27" customHeight="1" x14ac:dyDescent="0.35">
      <c r="A47" s="242" t="s">
        <v>589</v>
      </c>
      <c r="B47" s="243"/>
      <c r="C47" s="244"/>
      <c r="D47" s="211"/>
      <c r="E47" s="322" t="str">
        <f>IF(D47="","Refer to Section 4.14 Stormwater Hotspots",IF(D47="Yes","Credit for RRv and WQv treated cannot be applied to first practice in series",""))</f>
        <v>Refer to Section 4.14 Stormwater Hotspots</v>
      </c>
      <c r="F47" s="323"/>
      <c r="G47" s="323"/>
      <c r="H47" s="324"/>
      <c r="I47" s="4"/>
    </row>
    <row r="48" spans="1:9" ht="12.75" customHeight="1" x14ac:dyDescent="0.25">
      <c r="A48" s="242" t="s">
        <v>326</v>
      </c>
      <c r="B48" s="243"/>
      <c r="C48" s="244"/>
      <c r="D48" s="135" t="str">
        <f>IF(B43="","",IF(B43&gt;5,"Yes","No"))</f>
        <v/>
      </c>
      <c r="E48" s="322" t="str">
        <f>IF(D48="Yes","Does not meet design criteria","")</f>
        <v/>
      </c>
      <c r="F48" s="323"/>
      <c r="G48" s="323"/>
      <c r="H48" s="324"/>
    </row>
    <row r="49" spans="1:8" ht="15" customHeight="1" x14ac:dyDescent="0.25">
      <c r="A49" s="242" t="s">
        <v>296</v>
      </c>
      <c r="B49" s="243"/>
      <c r="C49" s="244"/>
      <c r="D49" s="139"/>
      <c r="E49" s="322" t="str">
        <f>IF(D49="","",IF(D49&lt;2,"Impermeable liner required",""))</f>
        <v/>
      </c>
      <c r="F49" s="323"/>
      <c r="G49" s="323"/>
      <c r="H49" s="324"/>
    </row>
    <row r="50" spans="1:8" ht="13.15" customHeight="1" x14ac:dyDescent="0.25">
      <c r="A50" s="242" t="s">
        <v>297</v>
      </c>
      <c r="B50" s="243"/>
      <c r="C50" s="244"/>
      <c r="D50" s="139"/>
      <c r="E50" s="322" t="str">
        <f>IF(D50="","",IF(D50&lt;2,"Impermeable liner required",""))</f>
        <v/>
      </c>
      <c r="F50" s="323"/>
      <c r="G50" s="323"/>
      <c r="H50" s="324"/>
    </row>
    <row r="51" spans="1:8" ht="13.15" customHeight="1" x14ac:dyDescent="0.25">
      <c r="A51" s="242" t="s">
        <v>507</v>
      </c>
      <c r="B51" s="243"/>
      <c r="C51" s="244"/>
      <c r="D51" s="139"/>
      <c r="E51" s="322" t="str">
        <f>IF(D51="","",IF(D51&lt;(F43*0.1),"Does not meet design crtieria",""))</f>
        <v/>
      </c>
      <c r="F51" s="323"/>
      <c r="G51" s="323"/>
      <c r="H51" s="324"/>
    </row>
    <row r="52" spans="1:8" ht="13.15" customHeight="1" x14ac:dyDescent="0.25">
      <c r="A52" s="242" t="s">
        <v>605</v>
      </c>
      <c r="B52" s="243"/>
      <c r="C52" s="244"/>
      <c r="D52" s="139"/>
      <c r="E52" s="322" t="str">
        <f>IF(D52="","",IF(D52=30,"","Does not meet design criteria"))</f>
        <v/>
      </c>
      <c r="F52" s="323"/>
      <c r="G52" s="323"/>
      <c r="H52" s="324"/>
    </row>
    <row r="53" spans="1:8" ht="13.15" customHeight="1" x14ac:dyDescent="0.25">
      <c r="A53" s="242" t="s">
        <v>402</v>
      </c>
      <c r="B53" s="243"/>
      <c r="C53" s="244"/>
      <c r="D53" s="139"/>
      <c r="E53" s="322" t="str">
        <f>IF(D53="","",IF(D53&gt;=10,"","Does not meet design criteria"))</f>
        <v/>
      </c>
      <c r="F53" s="323"/>
      <c r="G53" s="323"/>
      <c r="H53" s="324"/>
    </row>
    <row r="54" spans="1:8" ht="13.15" customHeight="1" x14ac:dyDescent="0.25">
      <c r="A54" s="242" t="s">
        <v>552</v>
      </c>
      <c r="B54" s="243"/>
      <c r="C54" s="244"/>
      <c r="D54" s="139"/>
      <c r="E54" s="322" t="str">
        <f>IF(D54="No","Does not meet design criteria","")</f>
        <v/>
      </c>
      <c r="F54" s="323"/>
      <c r="G54" s="323"/>
      <c r="H54" s="324"/>
    </row>
    <row r="55" spans="1:8" ht="13.15" customHeight="1" x14ac:dyDescent="0.3">
      <c r="A55" s="433" t="s">
        <v>232</v>
      </c>
      <c r="B55" s="434"/>
      <c r="C55" s="434"/>
      <c r="D55" s="361"/>
      <c r="E55" s="361"/>
      <c r="F55" s="361"/>
      <c r="G55" s="361"/>
      <c r="H55" s="362"/>
    </row>
    <row r="56" spans="1:8" ht="13" x14ac:dyDescent="0.3">
      <c r="A56" s="346"/>
      <c r="B56" s="347"/>
      <c r="C56" s="348"/>
      <c r="D56" s="47" t="s">
        <v>256</v>
      </c>
      <c r="E56" s="48" t="s">
        <v>257</v>
      </c>
      <c r="F56" s="349" t="s">
        <v>258</v>
      </c>
      <c r="G56" s="350"/>
      <c r="H56" s="351"/>
    </row>
    <row r="57" spans="1:8" ht="12.75" customHeight="1" x14ac:dyDescent="0.25">
      <c r="A57" s="289" t="s">
        <v>331</v>
      </c>
      <c r="B57" s="289"/>
      <c r="C57" s="159" t="s">
        <v>332</v>
      </c>
      <c r="D57" s="140"/>
      <c r="E57" s="193" t="s">
        <v>271</v>
      </c>
      <c r="F57" s="345" t="str">
        <f>IF(D57="","",IF(D57&lt;2,"Does not meet design criteria",IF(D57&gt;8,"Does not meet design criteria","")))</f>
        <v/>
      </c>
      <c r="G57" s="345"/>
      <c r="H57" s="345"/>
    </row>
    <row r="58" spans="1:8" ht="15" customHeight="1" x14ac:dyDescent="0.25">
      <c r="A58" s="289" t="s">
        <v>606</v>
      </c>
      <c r="B58" s="289"/>
      <c r="C58" s="159" t="s">
        <v>336</v>
      </c>
      <c r="D58" s="179"/>
      <c r="E58" s="193" t="s">
        <v>337</v>
      </c>
      <c r="F58" s="345" t="str">
        <f>IF(D58="","",IF(D58&lt;3,"Does not meet design criteria",""))</f>
        <v/>
      </c>
      <c r="G58" s="345"/>
      <c r="H58" s="345"/>
    </row>
    <row r="59" spans="1:8" ht="15" customHeight="1" x14ac:dyDescent="0.25">
      <c r="A59" s="289" t="s">
        <v>333</v>
      </c>
      <c r="B59" s="289"/>
      <c r="C59" s="159" t="s">
        <v>334</v>
      </c>
      <c r="D59" s="179"/>
      <c r="E59" s="193" t="s">
        <v>271</v>
      </c>
      <c r="F59" s="345"/>
      <c r="G59" s="345"/>
      <c r="H59" s="345"/>
    </row>
    <row r="60" spans="1:8" ht="15" customHeight="1" x14ac:dyDescent="0.25">
      <c r="A60" s="289" t="s">
        <v>338</v>
      </c>
      <c r="B60" s="289"/>
      <c r="C60" s="159" t="s">
        <v>339</v>
      </c>
      <c r="D60" s="160">
        <f>D57+(2*D58)*D59</f>
        <v>0</v>
      </c>
      <c r="E60" s="193" t="s">
        <v>271</v>
      </c>
      <c r="F60" s="345"/>
      <c r="G60" s="345"/>
      <c r="H60" s="345"/>
    </row>
    <row r="61" spans="1:8" ht="12.75" customHeight="1" x14ac:dyDescent="0.25">
      <c r="A61" s="289" t="s">
        <v>607</v>
      </c>
      <c r="B61" s="289"/>
      <c r="C61" s="159" t="s">
        <v>343</v>
      </c>
      <c r="D61" s="173">
        <f>(D60+D57)*D59/2</f>
        <v>0</v>
      </c>
      <c r="E61" s="193" t="s">
        <v>316</v>
      </c>
      <c r="F61" s="345"/>
      <c r="G61" s="345"/>
      <c r="H61" s="345"/>
    </row>
    <row r="62" spans="1:8" ht="12.75" customHeight="1" x14ac:dyDescent="0.25">
      <c r="A62" s="289" t="s">
        <v>608</v>
      </c>
      <c r="B62" s="289"/>
      <c r="C62" s="159" t="s">
        <v>349</v>
      </c>
      <c r="D62" s="173" t="str">
        <f>IF(F43="","",ROUNDUP(F43/D61,0))</f>
        <v/>
      </c>
      <c r="E62" s="193" t="s">
        <v>271</v>
      </c>
      <c r="F62" s="345"/>
      <c r="G62" s="345"/>
      <c r="H62" s="345"/>
    </row>
    <row r="63" spans="1:8" ht="12.75" customHeight="1" x14ac:dyDescent="0.25">
      <c r="A63" s="289" t="s">
        <v>609</v>
      </c>
      <c r="B63" s="289"/>
      <c r="C63" s="159" t="s">
        <v>351</v>
      </c>
      <c r="D63" s="140"/>
      <c r="E63" s="193" t="s">
        <v>271</v>
      </c>
      <c r="F63" s="345" t="str">
        <f>IF(D63="","",IF(D63&lt;D62,"Does not meet design criteria",""))</f>
        <v/>
      </c>
      <c r="G63" s="345"/>
      <c r="H63" s="345"/>
    </row>
    <row r="64" spans="1:8" ht="12.75" customHeight="1" x14ac:dyDescent="0.25">
      <c r="A64" s="289" t="s">
        <v>610</v>
      </c>
      <c r="B64" s="289"/>
      <c r="C64" s="159" t="s">
        <v>611</v>
      </c>
      <c r="D64" s="174">
        <f>IF(D61="","",D61*D63)</f>
        <v>0</v>
      </c>
      <c r="E64" s="193" t="s">
        <v>2</v>
      </c>
      <c r="F64" s="345" t="str">
        <f>IF(F43="","",IF(D64&lt;F43,"Does not meet sizing criteria",""))</f>
        <v/>
      </c>
      <c r="G64" s="345"/>
      <c r="H64" s="345"/>
    </row>
    <row r="65" spans="1:8" ht="15" customHeight="1" x14ac:dyDescent="0.25">
      <c r="A65" s="289" t="s">
        <v>354</v>
      </c>
      <c r="B65" s="289"/>
      <c r="C65" s="159" t="s">
        <v>355</v>
      </c>
      <c r="D65" s="140"/>
      <c r="E65" s="193" t="s">
        <v>271</v>
      </c>
      <c r="F65" s="345" t="str">
        <f>IF(D65="","",IF(D65&gt;1,"Does not meet design criteria",""))</f>
        <v/>
      </c>
      <c r="G65" s="345"/>
      <c r="H65" s="345"/>
    </row>
    <row r="66" spans="1:8" ht="15" customHeight="1" x14ac:dyDescent="0.25">
      <c r="A66" s="266" t="s">
        <v>356</v>
      </c>
      <c r="B66" s="268"/>
      <c r="C66" s="159" t="s">
        <v>357</v>
      </c>
      <c r="D66" s="62" t="str">
        <f>IF(D65="","",ROUNDUP(D65/D73,0))</f>
        <v/>
      </c>
      <c r="E66" s="193" t="s">
        <v>271</v>
      </c>
      <c r="F66" s="435"/>
      <c r="G66" s="436"/>
      <c r="H66" s="437"/>
    </row>
    <row r="67" spans="1:8" ht="12.75" customHeight="1" x14ac:dyDescent="0.25">
      <c r="A67" s="289" t="s">
        <v>358</v>
      </c>
      <c r="B67" s="289"/>
      <c r="C67" s="159" t="s">
        <v>217</v>
      </c>
      <c r="D67" s="62" t="str">
        <f>IF(D66="","",ROUNDUP(D63/D66,0))</f>
        <v/>
      </c>
      <c r="E67" s="193"/>
      <c r="F67" s="345"/>
      <c r="G67" s="345"/>
      <c r="H67" s="345"/>
    </row>
    <row r="68" spans="1:8" ht="15" customHeight="1" x14ac:dyDescent="0.25">
      <c r="A68" s="289" t="s">
        <v>612</v>
      </c>
      <c r="B68" s="289"/>
      <c r="C68" s="159" t="s">
        <v>613</v>
      </c>
      <c r="D68" s="179"/>
      <c r="E68" s="193" t="s">
        <v>271</v>
      </c>
      <c r="F68" s="345"/>
      <c r="G68" s="345"/>
      <c r="H68" s="345"/>
    </row>
    <row r="69" spans="1:8" ht="12.75" customHeight="1" x14ac:dyDescent="0.25">
      <c r="A69" s="289" t="s">
        <v>614</v>
      </c>
      <c r="B69" s="289"/>
      <c r="C69" s="159" t="s">
        <v>615</v>
      </c>
      <c r="D69" s="160">
        <f>D57+(2*D58)*D68</f>
        <v>0</v>
      </c>
      <c r="E69" s="193" t="s">
        <v>271</v>
      </c>
      <c r="F69" s="345"/>
      <c r="G69" s="345"/>
      <c r="H69" s="345"/>
    </row>
    <row r="70" spans="1:8" ht="12.75" customHeight="1" x14ac:dyDescent="0.25">
      <c r="A70" s="289" t="s">
        <v>616</v>
      </c>
      <c r="B70" s="289"/>
      <c r="C70" s="159" t="s">
        <v>617</v>
      </c>
      <c r="D70" s="173">
        <f>(D68*(D57+D69))/2</f>
        <v>0</v>
      </c>
      <c r="E70" s="193" t="s">
        <v>316</v>
      </c>
      <c r="F70" s="345"/>
      <c r="G70" s="345"/>
      <c r="H70" s="345"/>
    </row>
    <row r="71" spans="1:8" ht="15" customHeight="1" x14ac:dyDescent="0.25">
      <c r="A71" s="289" t="s">
        <v>618</v>
      </c>
      <c r="B71" s="289"/>
      <c r="C71" s="159" t="s">
        <v>619</v>
      </c>
      <c r="D71" s="173">
        <f>D57+((D68^2)+((D58*D68)^2)^0.5)*2</f>
        <v>0</v>
      </c>
      <c r="E71" s="193" t="s">
        <v>271</v>
      </c>
      <c r="F71" s="345"/>
      <c r="G71" s="345"/>
      <c r="H71" s="345"/>
    </row>
    <row r="72" spans="1:8" ht="15" customHeight="1" x14ac:dyDescent="0.25">
      <c r="A72" s="289" t="s">
        <v>620</v>
      </c>
      <c r="B72" s="289"/>
      <c r="C72" s="159" t="s">
        <v>268</v>
      </c>
      <c r="D72" s="180"/>
      <c r="E72" s="193"/>
      <c r="F72" s="345"/>
      <c r="G72" s="345"/>
      <c r="H72" s="345"/>
    </row>
    <row r="73" spans="1:8" x14ac:dyDescent="0.25">
      <c r="A73" s="289" t="s">
        <v>621</v>
      </c>
      <c r="B73" s="289"/>
      <c r="C73" s="159" t="s">
        <v>214</v>
      </c>
      <c r="D73" s="180"/>
      <c r="E73" s="193" t="s">
        <v>266</v>
      </c>
      <c r="F73" s="345" t="str">
        <f>IF(D73="","",IF(D73&lt;0.005,"Does not meet design criteria",IF(D73&gt;0.04,"Does not meet design criteria","")))</f>
        <v/>
      </c>
      <c r="G73" s="345"/>
      <c r="H73" s="345"/>
    </row>
    <row r="74" spans="1:8" x14ac:dyDescent="0.25">
      <c r="A74" s="289" t="s">
        <v>622</v>
      </c>
      <c r="B74" s="289"/>
      <c r="C74" s="159" t="s">
        <v>345</v>
      </c>
      <c r="D74" s="173" t="str">
        <f>IF(D73="","",ROUNDUP((1.49/D72)*((D70/D71)^(2/3))*(D73^(1/2)),2))</f>
        <v/>
      </c>
      <c r="E74" s="193" t="s">
        <v>346</v>
      </c>
      <c r="F74" s="345" t="str">
        <f>IF(D73="","",IF(D74&gt;5,"Does not meet design criteria",""))</f>
        <v/>
      </c>
      <c r="G74" s="345"/>
      <c r="H74" s="345"/>
    </row>
    <row r="75" spans="1:8" x14ac:dyDescent="0.25">
      <c r="A75" s="289" t="s">
        <v>623</v>
      </c>
      <c r="B75" s="289"/>
      <c r="C75" s="159"/>
      <c r="D75" s="140"/>
      <c r="E75" s="193" t="s">
        <v>271</v>
      </c>
      <c r="F75" s="345" t="str">
        <f>IF(D75="","",IF(D75&lt;0.5,"Does not meet design criteria",""))</f>
        <v/>
      </c>
      <c r="G75" s="345"/>
      <c r="H75" s="345"/>
    </row>
    <row r="76" spans="1:8" ht="30.25" customHeight="1" x14ac:dyDescent="0.3">
      <c r="A76" s="424" t="s">
        <v>372</v>
      </c>
      <c r="B76" s="425"/>
      <c r="C76" s="425"/>
      <c r="D76" s="361"/>
      <c r="E76" s="361"/>
      <c r="F76" s="425"/>
      <c r="G76" s="425"/>
      <c r="H76" s="426"/>
    </row>
    <row r="77" spans="1:8" ht="13.15" customHeight="1" x14ac:dyDescent="0.3">
      <c r="A77" s="427" t="s">
        <v>241</v>
      </c>
      <c r="B77" s="428"/>
      <c r="C77" s="429"/>
      <c r="D77" s="175" t="str">
        <f>IF(A43="","",IF(D47="Yes",0,IF(B43="",0,IF(D48="Yes",0,IF(D51&lt;(F43*0.1),0,IF(D52&lt;30,0,IF(D53&lt;10,0,IF(D54="No",0,IF(D57&lt;2,0,IF(D57&gt;8,0,IF(D58&lt;3,0,IF(D73&lt;0.005,0,IF(D73&gt;0.04,0,IF(D63&lt;D62,0,IF(D74&gt;5,0,IF(D75&lt;0.5,0,IF(D45="A",(F43*0.4),IF(D45="B",(F43*0.4),IF(D45="C",(F43*0.2),IF(D45="D",(F43*0.2)))))))))))))))))))))</f>
        <v/>
      </c>
      <c r="E77" s="430" t="s">
        <v>2</v>
      </c>
      <c r="F77" s="431"/>
      <c r="G77" s="431"/>
      <c r="H77" s="432"/>
    </row>
    <row r="78" spans="1:8" ht="26.25" customHeight="1" x14ac:dyDescent="0.25">
      <c r="A78" s="420" t="s">
        <v>74</v>
      </c>
      <c r="B78" s="421"/>
      <c r="C78" s="421"/>
      <c r="D78" s="176" t="str">
        <f>IF(A43="","",IF(D47="Yes",0,IF(B43="",0,F43-D77)))</f>
        <v/>
      </c>
      <c r="E78" s="177" t="s">
        <v>2</v>
      </c>
      <c r="F78" s="422" t="s">
        <v>624</v>
      </c>
      <c r="G78" s="423"/>
      <c r="H78" s="423"/>
    </row>
    <row r="79" spans="1:8" ht="13" x14ac:dyDescent="0.25">
      <c r="A79" s="161" t="s">
        <v>56</v>
      </c>
      <c r="B79" s="162" t="str">
        <f>IF('STEP 2-WQv Calculation'!$B$4="","",'STEP 2-WQv Calculation'!$B$4)</f>
        <v/>
      </c>
      <c r="C79" s="163"/>
      <c r="D79" s="163"/>
      <c r="E79" s="163"/>
      <c r="F79" s="163"/>
      <c r="G79" s="163"/>
      <c r="H79" s="163"/>
    </row>
    <row r="80" spans="1:8" ht="13" x14ac:dyDescent="0.3">
      <c r="A80" s="360" t="s">
        <v>293</v>
      </c>
      <c r="B80" s="361"/>
      <c r="C80" s="361"/>
      <c r="D80" s="361"/>
      <c r="E80" s="361"/>
      <c r="F80" s="361"/>
      <c r="G80" s="361"/>
      <c r="H80" s="362"/>
    </row>
    <row r="81" spans="1:9" ht="38.5" x14ac:dyDescent="0.25">
      <c r="A81" s="164" t="s">
        <v>60</v>
      </c>
      <c r="B81" s="165" t="s">
        <v>600</v>
      </c>
      <c r="C81" s="165" t="s">
        <v>601</v>
      </c>
      <c r="D81" s="165" t="s">
        <v>602</v>
      </c>
      <c r="E81" s="165" t="s">
        <v>64</v>
      </c>
      <c r="F81" s="165" t="s">
        <v>603</v>
      </c>
      <c r="G81" s="165" t="s">
        <v>604</v>
      </c>
      <c r="H81" s="166" t="s">
        <v>13</v>
      </c>
    </row>
    <row r="82" spans="1:9" ht="15" customHeight="1" x14ac:dyDescent="0.25">
      <c r="A82" s="178"/>
      <c r="B82" s="167" t="str">
        <f>IF($A82="","",(LOOKUP($A82,'STEP 2-WQv Calculation'!$A$8:$A$37,'STEP 2-WQv Calculation'!$B$8:$B$37)))</f>
        <v/>
      </c>
      <c r="C82" s="167" t="str">
        <f>IF($A82="","",(LOOKUP($A82,'STEP 2-WQv Calculation'!$A$8:$A$37,'STEP 2-WQv Calculation'!$C$8:$C$37)))</f>
        <v/>
      </c>
      <c r="D82" s="168" t="str">
        <f>IF($A82="","",(LOOKUP($A82,'STEP 2-WQv Calculation'!$A$8:$A$37,'STEP 2-WQv Calculation'!$D$8:$D$37)))</f>
        <v/>
      </c>
      <c r="E82" s="167" t="str">
        <f>IF($A82="","",(LOOKUP($A82,'STEP 2-WQv Calculation'!$A$8:$A$37,'STEP 2-WQv Calculation'!$E$8:$E$37)))</f>
        <v/>
      </c>
      <c r="F82" s="169" t="str">
        <f>IF($A82="","",(LOOKUP($A82,'STEP 2-WQv Calculation'!$A$8:$A$37,'STEP 2-WQv Calculation'!$F$8:$F$37)))</f>
        <v/>
      </c>
      <c r="G82" s="170">
        <f>'STEP 2-WQv Calculation'!$B$5</f>
        <v>0</v>
      </c>
      <c r="H82" s="171" t="str">
        <f>IF($A82="","",(LOOKUP($A82,'STEP 2-WQv Calculation'!$A$8:$A$37,'STEP 2-WQv Calculation'!$G$8:$G$37)))</f>
        <v/>
      </c>
    </row>
    <row r="83" spans="1:9" ht="28.15" customHeight="1" x14ac:dyDescent="0.3">
      <c r="A83" s="360" t="s">
        <v>226</v>
      </c>
      <c r="B83" s="361"/>
      <c r="C83" s="361"/>
      <c r="D83" s="361"/>
      <c r="E83" s="361"/>
      <c r="F83" s="361"/>
      <c r="G83" s="361"/>
      <c r="H83" s="362"/>
    </row>
    <row r="84" spans="1:9" s="1" customFormat="1" ht="27" customHeight="1" x14ac:dyDescent="0.35">
      <c r="A84" s="354" t="s">
        <v>325</v>
      </c>
      <c r="B84" s="355"/>
      <c r="C84" s="356"/>
      <c r="D84" s="139"/>
      <c r="E84" s="357"/>
      <c r="F84" s="358"/>
      <c r="G84" s="358"/>
      <c r="H84" s="359"/>
      <c r="I84" s="4"/>
    </row>
    <row r="85" spans="1:9" ht="26.25" customHeight="1" x14ac:dyDescent="0.25">
      <c r="A85" s="242" t="s">
        <v>592</v>
      </c>
      <c r="B85" s="243"/>
      <c r="C85" s="244"/>
      <c r="D85" s="139"/>
      <c r="E85" s="322" t="str">
        <f>IF(D85="Yes","Impermeable liner required","")</f>
        <v/>
      </c>
      <c r="F85" s="323"/>
      <c r="G85" s="323"/>
      <c r="H85" s="324"/>
    </row>
    <row r="86" spans="1:9" ht="26.65" customHeight="1" x14ac:dyDescent="0.25">
      <c r="A86" s="242" t="s">
        <v>589</v>
      </c>
      <c r="B86" s="243"/>
      <c r="C86" s="244"/>
      <c r="D86" s="211"/>
      <c r="E86" s="322" t="str">
        <f>IF(D86="","Refer to Section 4.14 Stormwater Hotspots",IF(D86="Yes","Credit for RRv and WQv treated cannot be applied to first practice in series",""))</f>
        <v>Refer to Section 4.14 Stormwater Hotspots</v>
      </c>
      <c r="F86" s="323"/>
      <c r="G86" s="323"/>
      <c r="H86" s="324"/>
    </row>
    <row r="87" spans="1:9" ht="12.75" customHeight="1" x14ac:dyDescent="0.25">
      <c r="A87" s="242" t="s">
        <v>326</v>
      </c>
      <c r="B87" s="243"/>
      <c r="C87" s="244"/>
      <c r="D87" s="135" t="str">
        <f>IF(B82="","",IF(B82&gt;5,"Yes","No"))</f>
        <v/>
      </c>
      <c r="E87" s="322" t="str">
        <f>IF(D87="Yes","Does not meet design criteria","")</f>
        <v/>
      </c>
      <c r="F87" s="323"/>
      <c r="G87" s="323"/>
      <c r="H87" s="324"/>
    </row>
    <row r="88" spans="1:9" ht="12.75" customHeight="1" x14ac:dyDescent="0.25">
      <c r="A88" s="242" t="s">
        <v>296</v>
      </c>
      <c r="B88" s="243"/>
      <c r="C88" s="244"/>
      <c r="D88" s="139"/>
      <c r="E88" s="322" t="str">
        <f>IF(D88="","",IF(D88&lt;2,"Impermeable liner required",""))</f>
        <v/>
      </c>
      <c r="F88" s="323"/>
      <c r="G88" s="323"/>
      <c r="H88" s="324"/>
    </row>
    <row r="89" spans="1:9" ht="12.75" customHeight="1" x14ac:dyDescent="0.25">
      <c r="A89" s="242" t="s">
        <v>297</v>
      </c>
      <c r="B89" s="243"/>
      <c r="C89" s="244"/>
      <c r="D89" s="139"/>
      <c r="E89" s="322" t="str">
        <f>IF(D89="","",IF(D89&lt;2,"Impermeable liner required",""))</f>
        <v/>
      </c>
      <c r="F89" s="323"/>
      <c r="G89" s="323"/>
      <c r="H89" s="324"/>
    </row>
    <row r="90" spans="1:9" ht="12.75" customHeight="1" x14ac:dyDescent="0.25">
      <c r="A90" s="242" t="s">
        <v>507</v>
      </c>
      <c r="B90" s="243"/>
      <c r="C90" s="244"/>
      <c r="D90" s="139"/>
      <c r="E90" s="322" t="str">
        <f>IF(D90="","",IF(D90&lt;(F82*0.1),"Does not meet design crtieria",""))</f>
        <v/>
      </c>
      <c r="F90" s="323"/>
      <c r="G90" s="323"/>
      <c r="H90" s="324"/>
    </row>
    <row r="91" spans="1:9" ht="12.75" customHeight="1" x14ac:dyDescent="0.25">
      <c r="A91" s="242" t="s">
        <v>605</v>
      </c>
      <c r="B91" s="243"/>
      <c r="C91" s="244"/>
      <c r="D91" s="139"/>
      <c r="E91" s="322" t="str">
        <f>IF(D91="","",IF(D91=30,"","Does not meet design criteria"))</f>
        <v/>
      </c>
      <c r="F91" s="323"/>
      <c r="G91" s="323"/>
      <c r="H91" s="324"/>
    </row>
    <row r="92" spans="1:9" ht="13.15" customHeight="1" x14ac:dyDescent="0.25">
      <c r="A92" s="242" t="s">
        <v>402</v>
      </c>
      <c r="B92" s="243"/>
      <c r="C92" s="244"/>
      <c r="D92" s="139"/>
      <c r="E92" s="322" t="str">
        <f>IF(D92="","",IF(D92&gt;=10,"","Does not meet design criteria"))</f>
        <v/>
      </c>
      <c r="F92" s="323"/>
      <c r="G92" s="323"/>
      <c r="H92" s="324"/>
    </row>
    <row r="93" spans="1:9" x14ac:dyDescent="0.25">
      <c r="A93" s="242" t="s">
        <v>552</v>
      </c>
      <c r="B93" s="243"/>
      <c r="C93" s="244"/>
      <c r="D93" s="139"/>
      <c r="E93" s="322" t="str">
        <f>IF(D93="No","Does not meet design criteria","")</f>
        <v/>
      </c>
      <c r="F93" s="323"/>
      <c r="G93" s="323"/>
      <c r="H93" s="324"/>
    </row>
    <row r="94" spans="1:9" ht="12.75" customHeight="1" x14ac:dyDescent="0.3">
      <c r="A94" s="433" t="s">
        <v>232</v>
      </c>
      <c r="B94" s="434"/>
      <c r="C94" s="434"/>
      <c r="D94" s="361"/>
      <c r="E94" s="361"/>
      <c r="F94" s="361"/>
      <c r="G94" s="361"/>
      <c r="H94" s="362"/>
    </row>
    <row r="95" spans="1:9" ht="12.75" customHeight="1" x14ac:dyDescent="0.3">
      <c r="A95" s="346"/>
      <c r="B95" s="347"/>
      <c r="C95" s="348"/>
      <c r="D95" s="47" t="s">
        <v>256</v>
      </c>
      <c r="E95" s="48" t="s">
        <v>257</v>
      </c>
      <c r="F95" s="349" t="s">
        <v>258</v>
      </c>
      <c r="G95" s="350"/>
      <c r="H95" s="351"/>
    </row>
    <row r="96" spans="1:9" ht="12.75" customHeight="1" x14ac:dyDescent="0.25">
      <c r="A96" s="289" t="s">
        <v>331</v>
      </c>
      <c r="B96" s="289"/>
      <c r="C96" s="159" t="s">
        <v>332</v>
      </c>
      <c r="D96" s="140"/>
      <c r="E96" s="193" t="s">
        <v>271</v>
      </c>
      <c r="F96" s="345" t="str">
        <f>IF(D96="","",IF(D96&lt;2,"Does not meet design criteria",IF(D96&gt;8,"Does not meet design criteria","")))</f>
        <v/>
      </c>
      <c r="G96" s="345"/>
      <c r="H96" s="345"/>
    </row>
    <row r="97" spans="1:8" ht="12.75" customHeight="1" x14ac:dyDescent="0.25">
      <c r="A97" s="289" t="s">
        <v>606</v>
      </c>
      <c r="B97" s="289"/>
      <c r="C97" s="159" t="s">
        <v>336</v>
      </c>
      <c r="D97" s="179"/>
      <c r="E97" s="193" t="s">
        <v>337</v>
      </c>
      <c r="F97" s="345" t="str">
        <f>IF(D97="","",IF(D97&lt;3,"Does not meet design criteria",""))</f>
        <v/>
      </c>
      <c r="G97" s="345"/>
      <c r="H97" s="345"/>
    </row>
    <row r="98" spans="1:8" ht="12.75" customHeight="1" x14ac:dyDescent="0.25">
      <c r="A98" s="289" t="s">
        <v>333</v>
      </c>
      <c r="B98" s="289"/>
      <c r="C98" s="159" t="s">
        <v>334</v>
      </c>
      <c r="D98" s="179"/>
      <c r="E98" s="193" t="s">
        <v>271</v>
      </c>
      <c r="F98" s="345"/>
      <c r="G98" s="345"/>
      <c r="H98" s="345"/>
    </row>
    <row r="99" spans="1:8" ht="12.75" customHeight="1" x14ac:dyDescent="0.25">
      <c r="A99" s="289" t="s">
        <v>338</v>
      </c>
      <c r="B99" s="289"/>
      <c r="C99" s="159" t="s">
        <v>339</v>
      </c>
      <c r="D99" s="160">
        <f>D96+(2*D97)*D98</f>
        <v>0</v>
      </c>
      <c r="E99" s="193" t="s">
        <v>271</v>
      </c>
      <c r="F99" s="345"/>
      <c r="G99" s="345"/>
      <c r="H99" s="345"/>
    </row>
    <row r="100" spans="1:8" x14ac:dyDescent="0.25">
      <c r="A100" s="289" t="s">
        <v>607</v>
      </c>
      <c r="B100" s="289"/>
      <c r="C100" s="159" t="s">
        <v>343</v>
      </c>
      <c r="D100" s="173">
        <f>(D99+D96)*D98/2</f>
        <v>0</v>
      </c>
      <c r="E100" s="193" t="s">
        <v>316</v>
      </c>
      <c r="F100" s="345"/>
      <c r="G100" s="345"/>
      <c r="H100" s="345"/>
    </row>
    <row r="101" spans="1:8" ht="12.75" customHeight="1" x14ac:dyDescent="0.25">
      <c r="A101" s="289" t="s">
        <v>608</v>
      </c>
      <c r="B101" s="289"/>
      <c r="C101" s="159" t="s">
        <v>349</v>
      </c>
      <c r="D101" s="173" t="str">
        <f>IF(F82="","",ROUNDUP(F82/D100,0))</f>
        <v/>
      </c>
      <c r="E101" s="193" t="s">
        <v>271</v>
      </c>
      <c r="F101" s="345"/>
      <c r="G101" s="345"/>
      <c r="H101" s="345"/>
    </row>
    <row r="102" spans="1:8" ht="12.75" customHeight="1" x14ac:dyDescent="0.25">
      <c r="A102" s="289" t="s">
        <v>609</v>
      </c>
      <c r="B102" s="289"/>
      <c r="C102" s="159" t="s">
        <v>351</v>
      </c>
      <c r="D102" s="140"/>
      <c r="E102" s="193" t="s">
        <v>271</v>
      </c>
      <c r="F102" s="345" t="str">
        <f>IF(D102="","",IF(D102&lt;D101,"Does not meet design criteria",""))</f>
        <v/>
      </c>
      <c r="G102" s="345"/>
      <c r="H102" s="345"/>
    </row>
    <row r="103" spans="1:8" ht="12.75" customHeight="1" x14ac:dyDescent="0.25">
      <c r="A103" s="289" t="s">
        <v>610</v>
      </c>
      <c r="B103" s="289"/>
      <c r="C103" s="159" t="s">
        <v>611</v>
      </c>
      <c r="D103" s="174">
        <f>IF(D100="","",D100*D102)</f>
        <v>0</v>
      </c>
      <c r="E103" s="193" t="s">
        <v>2</v>
      </c>
      <c r="F103" s="345" t="str">
        <f>IF(F82="","",IF(D103&lt;F82,"Does not meet sizing criteria",""))</f>
        <v/>
      </c>
      <c r="G103" s="345"/>
      <c r="H103" s="345"/>
    </row>
    <row r="104" spans="1:8" ht="12.75" customHeight="1" x14ac:dyDescent="0.25">
      <c r="A104" s="289" t="s">
        <v>354</v>
      </c>
      <c r="B104" s="289"/>
      <c r="C104" s="159" t="s">
        <v>355</v>
      </c>
      <c r="D104" s="140"/>
      <c r="E104" s="193" t="s">
        <v>271</v>
      </c>
      <c r="F104" s="345" t="str">
        <f>IF(D104="","",IF(D104&gt;1,"Does not meet design criteria",""))</f>
        <v/>
      </c>
      <c r="G104" s="345"/>
      <c r="H104" s="345"/>
    </row>
    <row r="105" spans="1:8" ht="12.75" customHeight="1" x14ac:dyDescent="0.25">
      <c r="A105" s="266" t="s">
        <v>356</v>
      </c>
      <c r="B105" s="268"/>
      <c r="C105" s="159" t="s">
        <v>357</v>
      </c>
      <c r="D105" s="62" t="str">
        <f>IF(D104="","",ROUNDUP(D104/D112,0))</f>
        <v/>
      </c>
      <c r="E105" s="193" t="s">
        <v>271</v>
      </c>
      <c r="F105" s="435"/>
      <c r="G105" s="436"/>
      <c r="H105" s="437"/>
    </row>
    <row r="106" spans="1:8" x14ac:dyDescent="0.25">
      <c r="A106" s="289" t="s">
        <v>358</v>
      </c>
      <c r="B106" s="289"/>
      <c r="C106" s="159" t="s">
        <v>217</v>
      </c>
      <c r="D106" s="62" t="str">
        <f>IF(D105="","",ROUNDUP(D102/D105,0))</f>
        <v/>
      </c>
      <c r="E106" s="193"/>
      <c r="F106" s="345"/>
      <c r="G106" s="345"/>
      <c r="H106" s="345"/>
    </row>
    <row r="107" spans="1:8" ht="12.75" customHeight="1" x14ac:dyDescent="0.25">
      <c r="A107" s="289" t="s">
        <v>612</v>
      </c>
      <c r="B107" s="289"/>
      <c r="C107" s="159" t="s">
        <v>613</v>
      </c>
      <c r="D107" s="179"/>
      <c r="E107" s="193" t="s">
        <v>271</v>
      </c>
      <c r="F107" s="345"/>
      <c r="G107" s="345"/>
      <c r="H107" s="345"/>
    </row>
    <row r="108" spans="1:8" ht="12.75" customHeight="1" x14ac:dyDescent="0.25">
      <c r="A108" s="289" t="s">
        <v>614</v>
      </c>
      <c r="B108" s="289"/>
      <c r="C108" s="159" t="s">
        <v>615</v>
      </c>
      <c r="D108" s="160">
        <f>D96+(2*D97)*D107</f>
        <v>0</v>
      </c>
      <c r="E108" s="193" t="s">
        <v>271</v>
      </c>
      <c r="F108" s="345"/>
      <c r="G108" s="345"/>
      <c r="H108" s="345"/>
    </row>
    <row r="109" spans="1:8" ht="12.75" customHeight="1" x14ac:dyDescent="0.25">
      <c r="A109" s="289" t="s">
        <v>616</v>
      </c>
      <c r="B109" s="289"/>
      <c r="C109" s="159" t="s">
        <v>617</v>
      </c>
      <c r="D109" s="173">
        <f>(D107*(D96+D108))/2</f>
        <v>0</v>
      </c>
      <c r="E109" s="193" t="s">
        <v>316</v>
      </c>
      <c r="F109" s="345"/>
      <c r="G109" s="345"/>
      <c r="H109" s="345"/>
    </row>
    <row r="110" spans="1:8" ht="12.75" customHeight="1" x14ac:dyDescent="0.25">
      <c r="A110" s="289" t="s">
        <v>618</v>
      </c>
      <c r="B110" s="289"/>
      <c r="C110" s="159" t="s">
        <v>619</v>
      </c>
      <c r="D110" s="173">
        <f>D96+((D107^2)+((D97*D107)^2)^0.5)*2</f>
        <v>0</v>
      </c>
      <c r="E110" s="193" t="s">
        <v>271</v>
      </c>
      <c r="F110" s="345"/>
      <c r="G110" s="345"/>
      <c r="H110" s="345"/>
    </row>
    <row r="111" spans="1:8" ht="13.15" customHeight="1" x14ac:dyDescent="0.25">
      <c r="A111" s="289" t="s">
        <v>620</v>
      </c>
      <c r="B111" s="289"/>
      <c r="C111" s="159" t="s">
        <v>268</v>
      </c>
      <c r="D111" s="180"/>
      <c r="E111" s="193"/>
      <c r="F111" s="345"/>
      <c r="G111" s="345"/>
      <c r="H111" s="345"/>
    </row>
    <row r="112" spans="1:8" ht="13.15" customHeight="1" x14ac:dyDescent="0.25">
      <c r="A112" s="289" t="s">
        <v>621</v>
      </c>
      <c r="B112" s="289"/>
      <c r="C112" s="159" t="s">
        <v>214</v>
      </c>
      <c r="D112" s="180"/>
      <c r="E112" s="193" t="s">
        <v>266</v>
      </c>
      <c r="F112" s="345" t="str">
        <f>IF(D112="","",IF(D112&lt;0.005,"Does not meet design criteria",IF(D112&gt;0.04,"Does not meet design criteria","")))</f>
        <v/>
      </c>
      <c r="G112" s="345"/>
      <c r="H112" s="345"/>
    </row>
    <row r="113" spans="1:9" x14ac:dyDescent="0.25">
      <c r="A113" s="289" t="s">
        <v>622</v>
      </c>
      <c r="B113" s="289"/>
      <c r="C113" s="159" t="s">
        <v>345</v>
      </c>
      <c r="D113" s="173" t="str">
        <f>IF(D112="","",ROUNDUP((1.49/D111)*((D109/D110)^(2/3))*(D112^(1/2)),2))</f>
        <v/>
      </c>
      <c r="E113" s="193" t="s">
        <v>346</v>
      </c>
      <c r="F113" s="345" t="str">
        <f>IF(D112="","",IF(D113&gt;5,"Does not meet design criteria",""))</f>
        <v/>
      </c>
      <c r="G113" s="345"/>
      <c r="H113" s="345"/>
    </row>
    <row r="114" spans="1:9" ht="13.15" customHeight="1" x14ac:dyDescent="0.25">
      <c r="A114" s="289" t="s">
        <v>623</v>
      </c>
      <c r="B114" s="289"/>
      <c r="C114" s="159"/>
      <c r="D114" s="140"/>
      <c r="E114" s="193" t="s">
        <v>271</v>
      </c>
      <c r="F114" s="345" t="str">
        <f>IF(D114="","",IF(D114&lt;0.5,"Does not meet design criteria",""))</f>
        <v/>
      </c>
      <c r="G114" s="345"/>
      <c r="H114" s="345"/>
    </row>
    <row r="115" spans="1:9" ht="13.15" customHeight="1" x14ac:dyDescent="0.3">
      <c r="A115" s="424" t="s">
        <v>372</v>
      </c>
      <c r="B115" s="425"/>
      <c r="C115" s="425"/>
      <c r="D115" s="361"/>
      <c r="E115" s="361"/>
      <c r="F115" s="425"/>
      <c r="G115" s="425"/>
      <c r="H115" s="426"/>
    </row>
    <row r="116" spans="1:9" ht="13" x14ac:dyDescent="0.3">
      <c r="A116" s="427" t="s">
        <v>241</v>
      </c>
      <c r="B116" s="428"/>
      <c r="C116" s="429"/>
      <c r="D116" s="175" t="str">
        <f>IF(A82="","",IF(D86="Yes",0,IF(B82="",0,IF(D87="Yes",0,IF(D90&lt;(F82*0.1),0,IF(D91&lt;30,0,IF(D92&lt;10,0,IF(D93="No",0,IF(D96&lt;2,0,IF(D96&gt;8,0,IF(D97&lt;3,0,IF(D112&lt;0.005,0,IF(D112&gt;0.04,0,IF(D102&lt;D101,0,IF(D113&gt;5,0,IF(D114&lt;0.5,0,IF(D84="A",(F82*0.4),IF(D84="B",(F82*0.4),IF(D84="C",(F82*0.2),IF(D84="D",(F82*0.2)))))))))))))))))))))</f>
        <v/>
      </c>
      <c r="E116" s="430" t="s">
        <v>2</v>
      </c>
      <c r="F116" s="431"/>
      <c r="G116" s="431"/>
      <c r="H116" s="432"/>
    </row>
    <row r="117" spans="1:9" ht="24.75" customHeight="1" x14ac:dyDescent="0.25">
      <c r="A117" s="420" t="s">
        <v>74</v>
      </c>
      <c r="B117" s="421"/>
      <c r="C117" s="421"/>
      <c r="D117" s="176" t="str">
        <f>IF(A82="","",IF(D86="Yes",0,IF(B82="",0,F82-D116)))</f>
        <v/>
      </c>
      <c r="E117" s="177" t="s">
        <v>2</v>
      </c>
      <c r="F117" s="422" t="s">
        <v>624</v>
      </c>
      <c r="G117" s="423"/>
      <c r="H117" s="423"/>
    </row>
    <row r="118" spans="1:9" ht="13.15" customHeight="1" x14ac:dyDescent="0.25">
      <c r="A118" s="161" t="s">
        <v>56</v>
      </c>
      <c r="B118" s="162" t="str">
        <f>IF('STEP 2-WQv Calculation'!$B$4="","",'STEP 2-WQv Calculation'!$B$4)</f>
        <v/>
      </c>
      <c r="C118" s="163"/>
      <c r="D118" s="163"/>
      <c r="E118" s="163"/>
      <c r="F118" s="163"/>
      <c r="G118" s="163"/>
      <c r="H118" s="163"/>
    </row>
    <row r="119" spans="1:9" ht="13" x14ac:dyDescent="0.3">
      <c r="A119" s="360" t="s">
        <v>293</v>
      </c>
      <c r="B119" s="361"/>
      <c r="C119" s="361"/>
      <c r="D119" s="361"/>
      <c r="E119" s="361"/>
      <c r="F119" s="361"/>
      <c r="G119" s="361"/>
      <c r="H119" s="362"/>
    </row>
    <row r="120" spans="1:9" ht="38.5" x14ac:dyDescent="0.25">
      <c r="A120" s="164" t="s">
        <v>60</v>
      </c>
      <c r="B120" s="165" t="s">
        <v>600</v>
      </c>
      <c r="C120" s="165" t="s">
        <v>601</v>
      </c>
      <c r="D120" s="165" t="s">
        <v>602</v>
      </c>
      <c r="E120" s="165" t="s">
        <v>64</v>
      </c>
      <c r="F120" s="165" t="s">
        <v>603</v>
      </c>
      <c r="G120" s="165" t="s">
        <v>604</v>
      </c>
      <c r="H120" s="166" t="s">
        <v>13</v>
      </c>
    </row>
    <row r="121" spans="1:9" s="1" customFormat="1" ht="27" customHeight="1" x14ac:dyDescent="0.35">
      <c r="A121" s="178"/>
      <c r="B121" s="167" t="str">
        <f>IF($A121="","",(LOOKUP($A121,'STEP 2-WQv Calculation'!$A$8:$A$37,'STEP 2-WQv Calculation'!$B$8:$B$37)))</f>
        <v/>
      </c>
      <c r="C121" s="167" t="str">
        <f>IF($A121="","",(LOOKUP($A121,'STEP 2-WQv Calculation'!$A$8:$A$37,'STEP 2-WQv Calculation'!$C$8:$C$37)))</f>
        <v/>
      </c>
      <c r="D121" s="168" t="str">
        <f>IF($A121="","",(LOOKUP($A121,'STEP 2-WQv Calculation'!$A$8:$A$37,'STEP 2-WQv Calculation'!$D$8:$D$37)))</f>
        <v/>
      </c>
      <c r="E121" s="167" t="str">
        <f>IF($A121="","",(LOOKUP($A121,'STEP 2-WQv Calculation'!$A$8:$A$37,'STEP 2-WQv Calculation'!$E$8:$E$37)))</f>
        <v/>
      </c>
      <c r="F121" s="169" t="str">
        <f>IF($A121="","",(LOOKUP($A121,'STEP 2-WQv Calculation'!$A$8:$A$37,'STEP 2-WQv Calculation'!$F$8:$F$37)))</f>
        <v/>
      </c>
      <c r="G121" s="170">
        <f>'STEP 2-WQv Calculation'!$B$5</f>
        <v>0</v>
      </c>
      <c r="H121" s="171" t="str">
        <f>IF($A121="","",(LOOKUP($A121,'STEP 2-WQv Calculation'!$A$8:$A$37,'STEP 2-WQv Calculation'!$G$8:$G$37)))</f>
        <v/>
      </c>
      <c r="I121" s="4"/>
    </row>
    <row r="122" spans="1:9" ht="12.75" customHeight="1" x14ac:dyDescent="0.3">
      <c r="A122" s="360" t="s">
        <v>226</v>
      </c>
      <c r="B122" s="361"/>
      <c r="C122" s="361"/>
      <c r="D122" s="361"/>
      <c r="E122" s="361"/>
      <c r="F122" s="361"/>
      <c r="G122" s="361"/>
      <c r="H122" s="362"/>
    </row>
    <row r="123" spans="1:9" ht="12.75" customHeight="1" x14ac:dyDescent="0.25">
      <c r="A123" s="354" t="s">
        <v>325</v>
      </c>
      <c r="B123" s="355"/>
      <c r="C123" s="356"/>
      <c r="D123" s="139"/>
      <c r="E123" s="357"/>
      <c r="F123" s="358"/>
      <c r="G123" s="358"/>
      <c r="H123" s="359"/>
    </row>
    <row r="124" spans="1:9" ht="25.15" customHeight="1" x14ac:dyDescent="0.25">
      <c r="A124" s="242" t="s">
        <v>592</v>
      </c>
      <c r="B124" s="243"/>
      <c r="C124" s="244"/>
      <c r="D124" s="139"/>
      <c r="E124" s="322" t="str">
        <f>IF(D124="Yes","Impermeable liner required","")</f>
        <v/>
      </c>
      <c r="F124" s="323"/>
      <c r="G124" s="323"/>
      <c r="H124" s="324"/>
    </row>
    <row r="125" spans="1:9" ht="25.15" customHeight="1" x14ac:dyDescent="0.25">
      <c r="A125" s="242" t="s">
        <v>589</v>
      </c>
      <c r="B125" s="243"/>
      <c r="C125" s="244"/>
      <c r="D125" s="211"/>
      <c r="E125" s="322" t="str">
        <f>IF(D125="","Refer to Section 4.14 Stormwater Hotspots",IF(D125="Yes","Credit for RRv and WQv treated cannot be applied to first practice in series",""))</f>
        <v>Refer to Section 4.14 Stormwater Hotspots</v>
      </c>
      <c r="F125" s="323"/>
      <c r="G125" s="323"/>
      <c r="H125" s="324"/>
    </row>
    <row r="126" spans="1:9" ht="12.75" customHeight="1" x14ac:dyDescent="0.25">
      <c r="A126" s="242" t="s">
        <v>326</v>
      </c>
      <c r="B126" s="243"/>
      <c r="C126" s="244"/>
      <c r="D126" s="135" t="str">
        <f>IF(B121="","",IF(B121&gt;5,"Yes","No"))</f>
        <v/>
      </c>
      <c r="E126" s="322" t="str">
        <f>IF(D126="Yes","Does not meet design criteria","")</f>
        <v/>
      </c>
      <c r="F126" s="323"/>
      <c r="G126" s="323"/>
      <c r="H126" s="324"/>
    </row>
    <row r="127" spans="1:9" ht="12.75" customHeight="1" x14ac:dyDescent="0.25">
      <c r="A127" s="242" t="s">
        <v>296</v>
      </c>
      <c r="B127" s="243"/>
      <c r="C127" s="244"/>
      <c r="D127" s="139"/>
      <c r="E127" s="322" t="str">
        <f>IF(D127="","",IF(D127&lt;2,"Impermeable liner required",""))</f>
        <v/>
      </c>
      <c r="F127" s="323"/>
      <c r="G127" s="323"/>
      <c r="H127" s="324"/>
    </row>
    <row r="128" spans="1:9" ht="12.75" customHeight="1" x14ac:dyDescent="0.25">
      <c r="A128" s="242" t="s">
        <v>297</v>
      </c>
      <c r="B128" s="243"/>
      <c r="C128" s="244"/>
      <c r="D128" s="139"/>
      <c r="E128" s="322" t="str">
        <f>IF(D128="","",IF(D128&lt;2,"Impermeable liner required",""))</f>
        <v/>
      </c>
      <c r="F128" s="323"/>
      <c r="G128" s="323"/>
      <c r="H128" s="324"/>
    </row>
    <row r="129" spans="1:8" ht="13.15" customHeight="1" x14ac:dyDescent="0.25">
      <c r="A129" s="242" t="s">
        <v>507</v>
      </c>
      <c r="B129" s="243"/>
      <c r="C129" s="244"/>
      <c r="D129" s="139"/>
      <c r="E129" s="322" t="str">
        <f>IF(D129="","",IF(D129&lt;(F121*0.1),"Does not meet design crtieria",""))</f>
        <v/>
      </c>
      <c r="F129" s="323"/>
      <c r="G129" s="323"/>
      <c r="H129" s="324"/>
    </row>
    <row r="130" spans="1:8" x14ac:dyDescent="0.25">
      <c r="A130" s="242" t="s">
        <v>605</v>
      </c>
      <c r="B130" s="243"/>
      <c r="C130" s="244"/>
      <c r="D130" s="139"/>
      <c r="E130" s="322" t="str">
        <f>IF(D130="","",IF(D130=30,"","Does not meet design criteria"))</f>
        <v/>
      </c>
      <c r="F130" s="323"/>
      <c r="G130" s="323"/>
      <c r="H130" s="324"/>
    </row>
    <row r="131" spans="1:8" ht="12.75" customHeight="1" x14ac:dyDescent="0.25">
      <c r="A131" s="242" t="s">
        <v>402</v>
      </c>
      <c r="B131" s="243"/>
      <c r="C131" s="244"/>
      <c r="D131" s="139"/>
      <c r="E131" s="322" t="str">
        <f>IF(D131="","",IF(D131&gt;=10,"","Does not meet design criteria"))</f>
        <v/>
      </c>
      <c r="F131" s="323"/>
      <c r="G131" s="323"/>
      <c r="H131" s="324"/>
    </row>
    <row r="132" spans="1:8" ht="12.75" customHeight="1" x14ac:dyDescent="0.25">
      <c r="A132" s="242" t="s">
        <v>552</v>
      </c>
      <c r="B132" s="243"/>
      <c r="C132" s="244"/>
      <c r="D132" s="139"/>
      <c r="E132" s="322" t="str">
        <f>IF(D132="No","Does not meet design criteria","")</f>
        <v/>
      </c>
      <c r="F132" s="323"/>
      <c r="G132" s="323"/>
      <c r="H132" s="324"/>
    </row>
    <row r="133" spans="1:8" ht="12.75" customHeight="1" x14ac:dyDescent="0.3">
      <c r="A133" s="433" t="s">
        <v>232</v>
      </c>
      <c r="B133" s="434"/>
      <c r="C133" s="434"/>
      <c r="D133" s="361"/>
      <c r="E133" s="361"/>
      <c r="F133" s="361"/>
      <c r="G133" s="361"/>
      <c r="H133" s="362"/>
    </row>
    <row r="134" spans="1:8" ht="12.75" customHeight="1" x14ac:dyDescent="0.3">
      <c r="A134" s="346"/>
      <c r="B134" s="347"/>
      <c r="C134" s="348"/>
      <c r="D134" s="47" t="s">
        <v>256</v>
      </c>
      <c r="E134" s="48" t="s">
        <v>257</v>
      </c>
      <c r="F134" s="349" t="s">
        <v>258</v>
      </c>
      <c r="G134" s="350"/>
      <c r="H134" s="351"/>
    </row>
    <row r="135" spans="1:8" ht="12.75" customHeight="1" x14ac:dyDescent="0.25">
      <c r="A135" s="289" t="s">
        <v>331</v>
      </c>
      <c r="B135" s="289"/>
      <c r="C135" s="159" t="s">
        <v>332</v>
      </c>
      <c r="D135" s="140"/>
      <c r="E135" s="193" t="s">
        <v>271</v>
      </c>
      <c r="F135" s="345" t="str">
        <f>IF(D135="","",IF(D135&lt;2,"Does not meet design criteria",IF(D135&gt;8,"Does not meet design criteria","")))</f>
        <v/>
      </c>
      <c r="G135" s="345"/>
      <c r="H135" s="345"/>
    </row>
    <row r="136" spans="1:8" ht="12.75" customHeight="1" x14ac:dyDescent="0.25">
      <c r="A136" s="289" t="s">
        <v>606</v>
      </c>
      <c r="B136" s="289"/>
      <c r="C136" s="159" t="s">
        <v>336</v>
      </c>
      <c r="D136" s="179"/>
      <c r="E136" s="193" t="s">
        <v>337</v>
      </c>
      <c r="F136" s="345" t="str">
        <f>IF(D136="","",IF(D136&lt;3,"Does not meet design criteria",""))</f>
        <v/>
      </c>
      <c r="G136" s="345"/>
      <c r="H136" s="345"/>
    </row>
    <row r="137" spans="1:8" x14ac:dyDescent="0.25">
      <c r="A137" s="289" t="s">
        <v>333</v>
      </c>
      <c r="B137" s="289"/>
      <c r="C137" s="159" t="s">
        <v>334</v>
      </c>
      <c r="D137" s="179"/>
      <c r="E137" s="193" t="s">
        <v>271</v>
      </c>
      <c r="F137" s="345"/>
      <c r="G137" s="345"/>
      <c r="H137" s="345"/>
    </row>
    <row r="138" spans="1:8" ht="12.75" customHeight="1" x14ac:dyDescent="0.25">
      <c r="A138" s="289" t="s">
        <v>338</v>
      </c>
      <c r="B138" s="289"/>
      <c r="C138" s="159" t="s">
        <v>339</v>
      </c>
      <c r="D138" s="160">
        <f>D135+(2*D136)*D137</f>
        <v>0</v>
      </c>
      <c r="E138" s="193" t="s">
        <v>271</v>
      </c>
      <c r="F138" s="345"/>
      <c r="G138" s="345"/>
      <c r="H138" s="345"/>
    </row>
    <row r="139" spans="1:8" ht="12.75" customHeight="1" x14ac:dyDescent="0.25">
      <c r="A139" s="289" t="s">
        <v>607</v>
      </c>
      <c r="B139" s="289"/>
      <c r="C139" s="159" t="s">
        <v>343</v>
      </c>
      <c r="D139" s="173">
        <f>(D138+D135)*D137/2</f>
        <v>0</v>
      </c>
      <c r="E139" s="193" t="s">
        <v>316</v>
      </c>
      <c r="F139" s="345"/>
      <c r="G139" s="345"/>
      <c r="H139" s="345"/>
    </row>
    <row r="140" spans="1:8" ht="12.75" customHeight="1" x14ac:dyDescent="0.25">
      <c r="A140" s="289" t="s">
        <v>608</v>
      </c>
      <c r="B140" s="289"/>
      <c r="C140" s="159" t="s">
        <v>349</v>
      </c>
      <c r="D140" s="173" t="str">
        <f>IF(F121="","",ROUNDUP(F121/D139,0))</f>
        <v/>
      </c>
      <c r="E140" s="193" t="s">
        <v>271</v>
      </c>
      <c r="F140" s="345"/>
      <c r="G140" s="345"/>
      <c r="H140" s="345"/>
    </row>
    <row r="141" spans="1:8" ht="12.75" customHeight="1" x14ac:dyDescent="0.25">
      <c r="A141" s="289" t="s">
        <v>609</v>
      </c>
      <c r="B141" s="289"/>
      <c r="C141" s="159" t="s">
        <v>351</v>
      </c>
      <c r="D141" s="140"/>
      <c r="E141" s="193" t="s">
        <v>271</v>
      </c>
      <c r="F141" s="345" t="str">
        <f>IF(D141="","",IF(D141&lt;D140,"Does not meet design criteria",""))</f>
        <v/>
      </c>
      <c r="G141" s="345"/>
      <c r="H141" s="345"/>
    </row>
    <row r="142" spans="1:8" ht="12.75" customHeight="1" x14ac:dyDescent="0.25">
      <c r="A142" s="289" t="s">
        <v>610</v>
      </c>
      <c r="B142" s="289"/>
      <c r="C142" s="159" t="s">
        <v>611</v>
      </c>
      <c r="D142" s="174">
        <f>IF(D139="","",D139*D141)</f>
        <v>0</v>
      </c>
      <c r="E142" s="193" t="s">
        <v>2</v>
      </c>
      <c r="F142" s="345" t="str">
        <f>IF(F121="","",IF(D142&lt;F121,"Does not meet sizing criteria",""))</f>
        <v/>
      </c>
      <c r="G142" s="345"/>
      <c r="H142" s="345"/>
    </row>
    <row r="143" spans="1:8" x14ac:dyDescent="0.25">
      <c r="A143" s="289" t="s">
        <v>354</v>
      </c>
      <c r="B143" s="289"/>
      <c r="C143" s="159" t="s">
        <v>355</v>
      </c>
      <c r="D143" s="140"/>
      <c r="E143" s="193" t="s">
        <v>271</v>
      </c>
      <c r="F143" s="345" t="str">
        <f>IF(D143="","",IF(D143&gt;1,"Does not meet design criteria",""))</f>
        <v/>
      </c>
      <c r="G143" s="345"/>
      <c r="H143" s="345"/>
    </row>
    <row r="144" spans="1:8" ht="12.75" customHeight="1" x14ac:dyDescent="0.25">
      <c r="A144" s="266" t="s">
        <v>356</v>
      </c>
      <c r="B144" s="268"/>
      <c r="C144" s="159" t="s">
        <v>357</v>
      </c>
      <c r="D144" s="62" t="str">
        <f>IF(D143="","",ROUNDUP(D143/D151,0))</f>
        <v/>
      </c>
      <c r="E144" s="193" t="s">
        <v>271</v>
      </c>
      <c r="F144" s="435"/>
      <c r="G144" s="436"/>
      <c r="H144" s="437"/>
    </row>
    <row r="145" spans="1:9" ht="12.75" customHeight="1" x14ac:dyDescent="0.25">
      <c r="A145" s="289" t="s">
        <v>358</v>
      </c>
      <c r="B145" s="289"/>
      <c r="C145" s="159" t="s">
        <v>217</v>
      </c>
      <c r="D145" s="62" t="str">
        <f>IF(D144="","",ROUNDUP(D141/D144,0))</f>
        <v/>
      </c>
      <c r="E145" s="193"/>
      <c r="F145" s="345"/>
      <c r="G145" s="345"/>
      <c r="H145" s="345"/>
    </row>
    <row r="146" spans="1:9" ht="12.75" customHeight="1" x14ac:dyDescent="0.25">
      <c r="A146" s="289" t="s">
        <v>612</v>
      </c>
      <c r="B146" s="289"/>
      <c r="C146" s="159" t="s">
        <v>613</v>
      </c>
      <c r="D146" s="179"/>
      <c r="E146" s="193" t="s">
        <v>271</v>
      </c>
      <c r="F146" s="345"/>
      <c r="G146" s="345"/>
      <c r="H146" s="345"/>
    </row>
    <row r="147" spans="1:9" ht="12.75" customHeight="1" x14ac:dyDescent="0.25">
      <c r="A147" s="289" t="s">
        <v>614</v>
      </c>
      <c r="B147" s="289"/>
      <c r="C147" s="159" t="s">
        <v>615</v>
      </c>
      <c r="D147" s="160">
        <f>D135+(2*D136)*D146</f>
        <v>0</v>
      </c>
      <c r="E147" s="193" t="s">
        <v>271</v>
      </c>
      <c r="F147" s="345"/>
      <c r="G147" s="345"/>
      <c r="H147" s="345"/>
    </row>
    <row r="148" spans="1:9" ht="13.15" customHeight="1" x14ac:dyDescent="0.25">
      <c r="A148" s="289" t="s">
        <v>616</v>
      </c>
      <c r="B148" s="289"/>
      <c r="C148" s="159" t="s">
        <v>617</v>
      </c>
      <c r="D148" s="173">
        <f>(D146*(D135+D147))/2</f>
        <v>0</v>
      </c>
      <c r="E148" s="193" t="s">
        <v>316</v>
      </c>
      <c r="F148" s="345"/>
      <c r="G148" s="345"/>
      <c r="H148" s="345"/>
    </row>
    <row r="149" spans="1:9" ht="13.15" customHeight="1" x14ac:dyDescent="0.25">
      <c r="A149" s="289" t="s">
        <v>618</v>
      </c>
      <c r="B149" s="289"/>
      <c r="C149" s="159" t="s">
        <v>619</v>
      </c>
      <c r="D149" s="173">
        <f>D135+((D146^2)+((D136*D146)^2)^0.5)*2</f>
        <v>0</v>
      </c>
      <c r="E149" s="193" t="s">
        <v>271</v>
      </c>
      <c r="F149" s="345"/>
      <c r="G149" s="345"/>
      <c r="H149" s="345"/>
    </row>
    <row r="150" spans="1:9" x14ac:dyDescent="0.25">
      <c r="A150" s="289" t="s">
        <v>620</v>
      </c>
      <c r="B150" s="289"/>
      <c r="C150" s="159" t="s">
        <v>268</v>
      </c>
      <c r="D150" s="180"/>
      <c r="E150" s="193"/>
      <c r="F150" s="345"/>
      <c r="G150" s="345"/>
      <c r="H150" s="345"/>
    </row>
    <row r="151" spans="1:9" ht="13.15" customHeight="1" x14ac:dyDescent="0.25">
      <c r="A151" s="289" t="s">
        <v>621</v>
      </c>
      <c r="B151" s="289"/>
      <c r="C151" s="159" t="s">
        <v>214</v>
      </c>
      <c r="D151" s="180"/>
      <c r="E151" s="193" t="s">
        <v>266</v>
      </c>
      <c r="F151" s="345" t="str">
        <f>IF(D151="","",IF(D151&lt;0.005,"Does not meet design criteria",IF(D151&gt;0.04,"Does not meet design criteria","")))</f>
        <v/>
      </c>
      <c r="G151" s="345"/>
      <c r="H151" s="345"/>
    </row>
    <row r="152" spans="1:9" ht="13.15" customHeight="1" x14ac:dyDescent="0.25">
      <c r="A152" s="289" t="s">
        <v>622</v>
      </c>
      <c r="B152" s="289"/>
      <c r="C152" s="159" t="s">
        <v>345</v>
      </c>
      <c r="D152" s="173" t="str">
        <f>IF(D151="","",ROUNDUP((1.49/D150)*((D148/D149)^(2/3))*(D151^(1/2)),2))</f>
        <v/>
      </c>
      <c r="E152" s="193" t="s">
        <v>346</v>
      </c>
      <c r="F152" s="345" t="str">
        <f>IF(D151="","",IF(D152&gt;5,"Does not meet design criteria",""))</f>
        <v/>
      </c>
      <c r="G152" s="345"/>
      <c r="H152" s="345"/>
    </row>
    <row r="153" spans="1:9" x14ac:dyDescent="0.25">
      <c r="A153" s="289" t="s">
        <v>623</v>
      </c>
      <c r="B153" s="289"/>
      <c r="C153" s="159"/>
      <c r="D153" s="140"/>
      <c r="E153" s="193" t="s">
        <v>271</v>
      </c>
      <c r="F153" s="345" t="str">
        <f>IF(D153="","",IF(D153&lt;0.5,"Does not meet design criteria",""))</f>
        <v/>
      </c>
      <c r="G153" s="345"/>
      <c r="H153" s="345"/>
    </row>
    <row r="154" spans="1:9" ht="13" x14ac:dyDescent="0.3">
      <c r="A154" s="424" t="s">
        <v>372</v>
      </c>
      <c r="B154" s="425"/>
      <c r="C154" s="425"/>
      <c r="D154" s="361"/>
      <c r="E154" s="361"/>
      <c r="F154" s="425"/>
      <c r="G154" s="425"/>
      <c r="H154" s="426"/>
    </row>
    <row r="155" spans="1:9" ht="13.15" customHeight="1" x14ac:dyDescent="0.3">
      <c r="A155" s="427" t="s">
        <v>241</v>
      </c>
      <c r="B155" s="428"/>
      <c r="C155" s="429"/>
      <c r="D155" s="175" t="str">
        <f>IF(A121="","",IF(D125="Yes",0,IF(B121="",0,IF(D126="Yes",0,IF(D129&lt;(F121*0.1),0,IF(D130&lt;30,0,IF(D131&lt;10,0,IF(D132="No",0,IF(D135&lt;2,0,IF(D135&gt;8,0,IF(D136&lt;3,0,IF(D151&lt;0.005,0,IF(D151&gt;0.04,0,IF(D141&lt;D140,0,IF(D152&gt;5,0,IF(D153&lt;0.5,0,IF(D123="A",(F121*0.4),IF(D123="B",(F121*0.4),IF(D123="C",(F121*0.2),IF(D123="D",(F121*0.2)))))))))))))))))))))</f>
        <v/>
      </c>
      <c r="E155" s="430" t="s">
        <v>2</v>
      </c>
      <c r="F155" s="431"/>
      <c r="G155" s="431"/>
      <c r="H155" s="432"/>
    </row>
    <row r="156" spans="1:9" ht="24.4" customHeight="1" x14ac:dyDescent="0.25">
      <c r="A156" s="420" t="s">
        <v>74</v>
      </c>
      <c r="B156" s="421"/>
      <c r="C156" s="421"/>
      <c r="D156" s="176" t="str">
        <f>IF(A121="","",IF(D125="Yes",0,IF(B121="",0,F121-D155)))</f>
        <v/>
      </c>
      <c r="E156" s="177" t="s">
        <v>2</v>
      </c>
      <c r="F156" s="422" t="s">
        <v>624</v>
      </c>
      <c r="G156" s="423"/>
      <c r="H156" s="423"/>
    </row>
    <row r="157" spans="1:9" ht="28.15" customHeight="1" x14ac:dyDescent="0.25">
      <c r="A157" s="161" t="s">
        <v>56</v>
      </c>
      <c r="B157" s="162" t="str">
        <f>IF('STEP 2-WQv Calculation'!$B$4="","",'STEP 2-WQv Calculation'!$B$4)</f>
        <v/>
      </c>
      <c r="C157" s="163"/>
      <c r="D157" s="163"/>
      <c r="E157" s="163"/>
      <c r="F157" s="163"/>
      <c r="G157" s="163"/>
      <c r="H157" s="163"/>
    </row>
    <row r="158" spans="1:9" s="1" customFormat="1" ht="27" customHeight="1" x14ac:dyDescent="0.35">
      <c r="A158" s="360" t="s">
        <v>293</v>
      </c>
      <c r="B158" s="361"/>
      <c r="C158" s="361"/>
      <c r="D158" s="361"/>
      <c r="E158" s="361"/>
      <c r="F158" s="361"/>
      <c r="G158" s="361"/>
      <c r="H158" s="362"/>
      <c r="I158" s="4"/>
    </row>
    <row r="159" spans="1:9" ht="12.75" customHeight="1" x14ac:dyDescent="0.25">
      <c r="A159" s="164" t="s">
        <v>60</v>
      </c>
      <c r="B159" s="165" t="s">
        <v>600</v>
      </c>
      <c r="C159" s="165" t="s">
        <v>601</v>
      </c>
      <c r="D159" s="165" t="s">
        <v>602</v>
      </c>
      <c r="E159" s="165" t="s">
        <v>64</v>
      </c>
      <c r="F159" s="165" t="s">
        <v>603</v>
      </c>
      <c r="G159" s="165" t="s">
        <v>604</v>
      </c>
      <c r="H159" s="166" t="s">
        <v>13</v>
      </c>
    </row>
    <row r="160" spans="1:9" ht="12.75" customHeight="1" x14ac:dyDescent="0.25">
      <c r="A160" s="178"/>
      <c r="B160" s="167" t="str">
        <f>IF($A160="","",(LOOKUP($A160,'STEP 2-WQv Calculation'!$A$8:$A$37,'STEP 2-WQv Calculation'!$B$8:$B$37)))</f>
        <v/>
      </c>
      <c r="C160" s="167" t="str">
        <f>IF($A160="","",(LOOKUP($A160,'STEP 2-WQv Calculation'!$A$8:$A$37,'STEP 2-WQv Calculation'!$C$8:$C$37)))</f>
        <v/>
      </c>
      <c r="D160" s="168" t="str">
        <f>IF($A160="","",(LOOKUP($A160,'STEP 2-WQv Calculation'!$A$8:$A$37,'STEP 2-WQv Calculation'!$D$8:$D$37)))</f>
        <v/>
      </c>
      <c r="E160" s="167" t="str">
        <f>IF($A160="","",(LOOKUP($A160,'STEP 2-WQv Calculation'!$A$8:$A$37,'STEP 2-WQv Calculation'!$E$8:$E$37)))</f>
        <v/>
      </c>
      <c r="F160" s="169" t="str">
        <f>IF($A160="","",(LOOKUP($A160,'STEP 2-WQv Calculation'!$A$8:$A$37,'STEP 2-WQv Calculation'!$F$8:$F$37)))</f>
        <v/>
      </c>
      <c r="G160" s="170">
        <f>'STEP 2-WQv Calculation'!$B$5</f>
        <v>0</v>
      </c>
      <c r="H160" s="171" t="str">
        <f>IF($A160="","",(LOOKUP($A160,'STEP 2-WQv Calculation'!$A$8:$A$37,'STEP 2-WQv Calculation'!$G$8:$G$37)))</f>
        <v/>
      </c>
    </row>
    <row r="161" spans="1:8" ht="12.75" customHeight="1" x14ac:dyDescent="0.3">
      <c r="A161" s="360" t="s">
        <v>226</v>
      </c>
      <c r="B161" s="361"/>
      <c r="C161" s="361"/>
      <c r="D161" s="361"/>
      <c r="E161" s="361"/>
      <c r="F161" s="361"/>
      <c r="G161" s="361"/>
      <c r="H161" s="362"/>
    </row>
    <row r="162" spans="1:8" ht="12.75" customHeight="1" x14ac:dyDescent="0.25">
      <c r="A162" s="354" t="s">
        <v>325</v>
      </c>
      <c r="B162" s="355"/>
      <c r="C162" s="356"/>
      <c r="D162" s="139"/>
      <c r="E162" s="357"/>
      <c r="F162" s="358"/>
      <c r="G162" s="358"/>
      <c r="H162" s="359"/>
    </row>
    <row r="163" spans="1:8" ht="25.9" customHeight="1" x14ac:dyDescent="0.25">
      <c r="A163" s="242" t="s">
        <v>592</v>
      </c>
      <c r="B163" s="243"/>
      <c r="C163" s="244"/>
      <c r="D163" s="139"/>
      <c r="E163" s="322" t="str">
        <f>IF(D163="Yes","Impermeable liner required","")</f>
        <v/>
      </c>
      <c r="F163" s="323"/>
      <c r="G163" s="323"/>
      <c r="H163" s="324"/>
    </row>
    <row r="164" spans="1:8" ht="25.5" customHeight="1" x14ac:dyDescent="0.25">
      <c r="A164" s="242" t="s">
        <v>589</v>
      </c>
      <c r="B164" s="243"/>
      <c r="C164" s="244"/>
      <c r="D164" s="211"/>
      <c r="E164" s="322" t="str">
        <f>IF(D164="","Refer to Section 4.14 Stormwater Hotspots",IF(D164="Yes","Credit for RRv and WQv treated cannot be applied to first practice in series",""))</f>
        <v>Refer to Section 4.14 Stormwater Hotspots</v>
      </c>
      <c r="F164" s="323"/>
      <c r="G164" s="323"/>
      <c r="H164" s="324"/>
    </row>
    <row r="165" spans="1:8" ht="12.75" customHeight="1" x14ac:dyDescent="0.25">
      <c r="A165" s="242" t="s">
        <v>326</v>
      </c>
      <c r="B165" s="243"/>
      <c r="C165" s="244"/>
      <c r="D165" s="135" t="str">
        <f>IF(B160="","",IF(B160&gt;5,"Yes","No"))</f>
        <v/>
      </c>
      <c r="E165" s="322" t="str">
        <f>IF(D165="Yes","Does not meet design criteria","")</f>
        <v/>
      </c>
      <c r="F165" s="323"/>
      <c r="G165" s="323"/>
      <c r="H165" s="324"/>
    </row>
    <row r="166" spans="1:8" ht="13.15" customHeight="1" x14ac:dyDescent="0.25">
      <c r="A166" s="242" t="s">
        <v>296</v>
      </c>
      <c r="B166" s="243"/>
      <c r="C166" s="244"/>
      <c r="D166" s="139"/>
      <c r="E166" s="322" t="str">
        <f>IF(D166="","",IF(D166&lt;2,"Impermeable liner required",""))</f>
        <v/>
      </c>
      <c r="F166" s="323"/>
      <c r="G166" s="323"/>
      <c r="H166" s="324"/>
    </row>
    <row r="167" spans="1:8" x14ac:dyDescent="0.25">
      <c r="A167" s="242" t="s">
        <v>297</v>
      </c>
      <c r="B167" s="243"/>
      <c r="C167" s="244"/>
      <c r="D167" s="139"/>
      <c r="E167" s="322" t="str">
        <f>IF(D167="","",IF(D167&lt;2,"Impermeable liner required",""))</f>
        <v/>
      </c>
      <c r="F167" s="323"/>
      <c r="G167" s="323"/>
      <c r="H167" s="324"/>
    </row>
    <row r="168" spans="1:8" ht="12.75" customHeight="1" x14ac:dyDescent="0.25">
      <c r="A168" s="242" t="s">
        <v>507</v>
      </c>
      <c r="B168" s="243"/>
      <c r="C168" s="244"/>
      <c r="D168" s="139"/>
      <c r="E168" s="322" t="str">
        <f>IF(D168="","",IF(D168&lt;(F160*0.1),"Does not meet design crtieria",""))</f>
        <v/>
      </c>
      <c r="F168" s="323"/>
      <c r="G168" s="323"/>
      <c r="H168" s="324"/>
    </row>
    <row r="169" spans="1:8" ht="12.75" customHeight="1" x14ac:dyDescent="0.25">
      <c r="A169" s="242" t="s">
        <v>605</v>
      </c>
      <c r="B169" s="243"/>
      <c r="C169" s="244"/>
      <c r="D169" s="139"/>
      <c r="E169" s="322" t="str">
        <f>IF(D169="","",IF(D169=30,"","Does not meet design criteria"))</f>
        <v/>
      </c>
      <c r="F169" s="323"/>
      <c r="G169" s="323"/>
      <c r="H169" s="324"/>
    </row>
    <row r="170" spans="1:8" ht="12.75" customHeight="1" x14ac:dyDescent="0.25">
      <c r="A170" s="242" t="s">
        <v>402</v>
      </c>
      <c r="B170" s="243"/>
      <c r="C170" s="244"/>
      <c r="D170" s="139"/>
      <c r="E170" s="322" t="str">
        <f>IF(D170="","",IF(D170&gt;=10,"","Does not meet design criteria"))</f>
        <v/>
      </c>
      <c r="F170" s="323"/>
      <c r="G170" s="323"/>
      <c r="H170" s="324"/>
    </row>
    <row r="171" spans="1:8" ht="12.75" customHeight="1" x14ac:dyDescent="0.25">
      <c r="A171" s="242" t="s">
        <v>552</v>
      </c>
      <c r="B171" s="243"/>
      <c r="C171" s="244"/>
      <c r="D171" s="139"/>
      <c r="E171" s="322" t="str">
        <f>IF(D171="No","Does not meet design criteria","")</f>
        <v/>
      </c>
      <c r="F171" s="323"/>
      <c r="G171" s="323"/>
      <c r="H171" s="324"/>
    </row>
    <row r="172" spans="1:8" ht="12.75" customHeight="1" x14ac:dyDescent="0.3">
      <c r="A172" s="433" t="s">
        <v>232</v>
      </c>
      <c r="B172" s="434"/>
      <c r="C172" s="434"/>
      <c r="D172" s="361"/>
      <c r="E172" s="361"/>
      <c r="F172" s="361"/>
      <c r="G172" s="361"/>
      <c r="H172" s="362"/>
    </row>
    <row r="173" spans="1:8" ht="12.75" customHeight="1" x14ac:dyDescent="0.3">
      <c r="A173" s="346"/>
      <c r="B173" s="347"/>
      <c r="C173" s="348"/>
      <c r="D173" s="47" t="s">
        <v>256</v>
      </c>
      <c r="E173" s="48" t="s">
        <v>257</v>
      </c>
      <c r="F173" s="349" t="s">
        <v>258</v>
      </c>
      <c r="G173" s="350"/>
      <c r="H173" s="351"/>
    </row>
    <row r="174" spans="1:8" x14ac:dyDescent="0.25">
      <c r="A174" s="289" t="s">
        <v>331</v>
      </c>
      <c r="B174" s="289"/>
      <c r="C174" s="159" t="s">
        <v>332</v>
      </c>
      <c r="D174" s="140"/>
      <c r="E174" s="193" t="s">
        <v>271</v>
      </c>
      <c r="F174" s="345" t="str">
        <f>IF(D174="","",IF(D174&lt;2,"Does not meet design criteria",IF(D174&gt;8,"Does not meet design criteria","")))</f>
        <v/>
      </c>
      <c r="G174" s="345"/>
      <c r="H174" s="345"/>
    </row>
    <row r="175" spans="1:8" ht="12.75" customHeight="1" x14ac:dyDescent="0.25">
      <c r="A175" s="289" t="s">
        <v>606</v>
      </c>
      <c r="B175" s="289"/>
      <c r="C175" s="159" t="s">
        <v>336</v>
      </c>
      <c r="D175" s="179"/>
      <c r="E175" s="193" t="s">
        <v>337</v>
      </c>
      <c r="F175" s="345" t="str">
        <f>IF(D175="","",IF(D175&lt;3,"Does not meet design criteria",""))</f>
        <v/>
      </c>
      <c r="G175" s="345"/>
      <c r="H175" s="345"/>
    </row>
    <row r="176" spans="1:8" ht="12.75" customHeight="1" x14ac:dyDescent="0.25">
      <c r="A176" s="289" t="s">
        <v>333</v>
      </c>
      <c r="B176" s="289"/>
      <c r="C176" s="159" t="s">
        <v>334</v>
      </c>
      <c r="D176" s="179"/>
      <c r="E176" s="193" t="s">
        <v>271</v>
      </c>
      <c r="F176" s="345"/>
      <c r="G176" s="345"/>
      <c r="H176" s="345"/>
    </row>
    <row r="177" spans="1:8" ht="12.75" customHeight="1" x14ac:dyDescent="0.25">
      <c r="A177" s="289" t="s">
        <v>338</v>
      </c>
      <c r="B177" s="289"/>
      <c r="C177" s="159" t="s">
        <v>339</v>
      </c>
      <c r="D177" s="160">
        <f>D174+(2*D175)*D176</f>
        <v>0</v>
      </c>
      <c r="E177" s="193" t="s">
        <v>271</v>
      </c>
      <c r="F177" s="345"/>
      <c r="G177" s="345"/>
      <c r="H177" s="345"/>
    </row>
    <row r="178" spans="1:8" ht="12.75" customHeight="1" x14ac:dyDescent="0.25">
      <c r="A178" s="289" t="s">
        <v>607</v>
      </c>
      <c r="B178" s="289"/>
      <c r="C178" s="159" t="s">
        <v>343</v>
      </c>
      <c r="D178" s="173">
        <f>(D177+D174)*D176/2</f>
        <v>0</v>
      </c>
      <c r="E178" s="193" t="s">
        <v>316</v>
      </c>
      <c r="F178" s="345"/>
      <c r="G178" s="345"/>
      <c r="H178" s="345"/>
    </row>
    <row r="179" spans="1:8" ht="12.75" customHeight="1" x14ac:dyDescent="0.25">
      <c r="A179" s="289" t="s">
        <v>608</v>
      </c>
      <c r="B179" s="289"/>
      <c r="C179" s="159" t="s">
        <v>349</v>
      </c>
      <c r="D179" s="173" t="str">
        <f>IF(F160="","",ROUNDUP(F160/D178,0))</f>
        <v/>
      </c>
      <c r="E179" s="193" t="s">
        <v>271</v>
      </c>
      <c r="F179" s="345"/>
      <c r="G179" s="345"/>
      <c r="H179" s="345"/>
    </row>
    <row r="180" spans="1:8" x14ac:dyDescent="0.25">
      <c r="A180" s="289" t="s">
        <v>609</v>
      </c>
      <c r="B180" s="289"/>
      <c r="C180" s="159" t="s">
        <v>351</v>
      </c>
      <c r="D180" s="140"/>
      <c r="E180" s="193" t="s">
        <v>271</v>
      </c>
      <c r="F180" s="345" t="str">
        <f>IF(D180="","",IF(D180&lt;D179,"Does not meet design criteria",""))</f>
        <v/>
      </c>
      <c r="G180" s="345"/>
      <c r="H180" s="345"/>
    </row>
    <row r="181" spans="1:8" ht="12.75" customHeight="1" x14ac:dyDescent="0.25">
      <c r="A181" s="289" t="s">
        <v>610</v>
      </c>
      <c r="B181" s="289"/>
      <c r="C181" s="159" t="s">
        <v>611</v>
      </c>
      <c r="D181" s="174">
        <f>IF(D178="","",D178*D180)</f>
        <v>0</v>
      </c>
      <c r="E181" s="193" t="s">
        <v>2</v>
      </c>
      <c r="F181" s="345" t="str">
        <f>IF(F160="","",IF(D181&lt;F160,"Does not meet sizing criteria",""))</f>
        <v/>
      </c>
      <c r="G181" s="345"/>
      <c r="H181" s="345"/>
    </row>
    <row r="182" spans="1:8" ht="12.75" customHeight="1" x14ac:dyDescent="0.25">
      <c r="A182" s="289" t="s">
        <v>354</v>
      </c>
      <c r="B182" s="289"/>
      <c r="C182" s="159" t="s">
        <v>355</v>
      </c>
      <c r="D182" s="140"/>
      <c r="E182" s="193" t="s">
        <v>271</v>
      </c>
      <c r="F182" s="345" t="str">
        <f>IF(D182="","",IF(D182&gt;1,"Does not meet design criteria",""))</f>
        <v/>
      </c>
      <c r="G182" s="345"/>
      <c r="H182" s="345"/>
    </row>
    <row r="183" spans="1:8" ht="12.75" customHeight="1" x14ac:dyDescent="0.25">
      <c r="A183" s="266" t="s">
        <v>356</v>
      </c>
      <c r="B183" s="268"/>
      <c r="C183" s="159" t="s">
        <v>357</v>
      </c>
      <c r="D183" s="62" t="str">
        <f>IF(D182="","",ROUNDUP(D182/D190,0))</f>
        <v/>
      </c>
      <c r="E183" s="193" t="s">
        <v>271</v>
      </c>
      <c r="F183" s="435"/>
      <c r="G183" s="436"/>
      <c r="H183" s="437"/>
    </row>
    <row r="184" spans="1:8" ht="12.75" customHeight="1" x14ac:dyDescent="0.25">
      <c r="A184" s="289" t="s">
        <v>358</v>
      </c>
      <c r="B184" s="289"/>
      <c r="C184" s="159" t="s">
        <v>217</v>
      </c>
      <c r="D184" s="62" t="str">
        <f>IF(D183="","",ROUNDUP(D180/D183,0))</f>
        <v/>
      </c>
      <c r="E184" s="193"/>
      <c r="F184" s="345"/>
      <c r="G184" s="345"/>
      <c r="H184" s="345"/>
    </row>
    <row r="185" spans="1:8" ht="13.15" customHeight="1" x14ac:dyDescent="0.25">
      <c r="A185" s="289" t="s">
        <v>612</v>
      </c>
      <c r="B185" s="289"/>
      <c r="C185" s="159" t="s">
        <v>613</v>
      </c>
      <c r="D185" s="179"/>
      <c r="E185" s="193" t="s">
        <v>271</v>
      </c>
      <c r="F185" s="345"/>
      <c r="G185" s="345"/>
      <c r="H185" s="345"/>
    </row>
    <row r="186" spans="1:8" ht="13.15" customHeight="1" x14ac:dyDescent="0.25">
      <c r="A186" s="289" t="s">
        <v>614</v>
      </c>
      <c r="B186" s="289"/>
      <c r="C186" s="159" t="s">
        <v>615</v>
      </c>
      <c r="D186" s="160">
        <f>D174+(2*D175)*D185</f>
        <v>0</v>
      </c>
      <c r="E186" s="193" t="s">
        <v>271</v>
      </c>
      <c r="F186" s="345"/>
      <c r="G186" s="345"/>
      <c r="H186" s="345"/>
    </row>
    <row r="187" spans="1:8" x14ac:dyDescent="0.25">
      <c r="A187" s="289" t="s">
        <v>616</v>
      </c>
      <c r="B187" s="289"/>
      <c r="C187" s="159" t="s">
        <v>617</v>
      </c>
      <c r="D187" s="173">
        <f>(D185*(D174+D186))/2</f>
        <v>0</v>
      </c>
      <c r="E187" s="193" t="s">
        <v>316</v>
      </c>
      <c r="F187" s="345"/>
      <c r="G187" s="345"/>
      <c r="H187" s="345"/>
    </row>
    <row r="188" spans="1:8" x14ac:dyDescent="0.25">
      <c r="A188" s="289" t="s">
        <v>618</v>
      </c>
      <c r="B188" s="289"/>
      <c r="C188" s="159" t="s">
        <v>619</v>
      </c>
      <c r="D188" s="173">
        <f>D174+((D185^2)+((D175*D185)^2)^0.5)*2</f>
        <v>0</v>
      </c>
      <c r="E188" s="193" t="s">
        <v>271</v>
      </c>
      <c r="F188" s="345"/>
      <c r="G188" s="345"/>
      <c r="H188" s="345"/>
    </row>
    <row r="189" spans="1:8" x14ac:dyDescent="0.25">
      <c r="A189" s="289" t="s">
        <v>620</v>
      </c>
      <c r="B189" s="289"/>
      <c r="C189" s="159" t="s">
        <v>268</v>
      </c>
      <c r="D189" s="180"/>
      <c r="E189" s="193"/>
      <c r="F189" s="345"/>
      <c r="G189" s="345"/>
      <c r="H189" s="345"/>
    </row>
    <row r="190" spans="1:8" x14ac:dyDescent="0.25">
      <c r="A190" s="289" t="s">
        <v>621</v>
      </c>
      <c r="B190" s="289"/>
      <c r="C190" s="159" t="s">
        <v>214</v>
      </c>
      <c r="D190" s="180"/>
      <c r="E190" s="193" t="s">
        <v>266</v>
      </c>
      <c r="F190" s="345" t="str">
        <f>IF(D190="","",IF(D190&lt;0.005,"Does not meet design criteria",IF(D190&gt;0.04,"Does not meet design criteria","")))</f>
        <v/>
      </c>
      <c r="G190" s="345"/>
      <c r="H190" s="345"/>
    </row>
    <row r="191" spans="1:8" x14ac:dyDescent="0.25">
      <c r="A191" s="289" t="s">
        <v>622</v>
      </c>
      <c r="B191" s="289"/>
      <c r="C191" s="159" t="s">
        <v>345</v>
      </c>
      <c r="D191" s="173" t="str">
        <f>IF(D190="","",ROUNDUP((1.49/D189)*((D187/D188)^(2/3))*(D190^(1/2)),2))</f>
        <v/>
      </c>
      <c r="E191" s="193" t="s">
        <v>346</v>
      </c>
      <c r="F191" s="345" t="str">
        <f>IF(D190="","",IF(D191&gt;5,"Does not meet design criteria",""))</f>
        <v/>
      </c>
      <c r="G191" s="345"/>
      <c r="H191" s="345"/>
    </row>
    <row r="192" spans="1:8" x14ac:dyDescent="0.25">
      <c r="A192" s="289" t="s">
        <v>623</v>
      </c>
      <c r="B192" s="289"/>
      <c r="C192" s="159"/>
      <c r="D192" s="140"/>
      <c r="E192" s="193" t="s">
        <v>271</v>
      </c>
      <c r="F192" s="345" t="str">
        <f>IF(D192="","",IF(D192&lt;0.5,"Does not meet design criteria",""))</f>
        <v/>
      </c>
      <c r="G192" s="345"/>
      <c r="H192" s="345"/>
    </row>
    <row r="193" spans="1:8" ht="13" x14ac:dyDescent="0.3">
      <c r="A193" s="424" t="s">
        <v>372</v>
      </c>
      <c r="B193" s="425"/>
      <c r="C193" s="425"/>
      <c r="D193" s="361"/>
      <c r="E193" s="361"/>
      <c r="F193" s="425"/>
      <c r="G193" s="425"/>
      <c r="H193" s="426"/>
    </row>
    <row r="194" spans="1:8" ht="13" x14ac:dyDescent="0.3">
      <c r="A194" s="427" t="s">
        <v>241</v>
      </c>
      <c r="B194" s="428"/>
      <c r="C194" s="429"/>
      <c r="D194" s="175" t="str">
        <f>IF(A160="","",IF(D164="Yes",0,IF(B160="",0,IF(D165="Yes",0,IF(D168&lt;(F160*0.1),0,IF(D169&lt;30,0,IF(D170&lt;10,0,IF(D171="No",0,IF(D174&lt;2,0,IF(D174&gt;8,0,IF(D175&lt;3,0,IF(D190&lt;0.005,0,IF(D190&gt;0.04,0,IF(D180&lt;D179,0,IF(D191&gt;5,0,IF(D192&lt;0.5,0,IF(D162="A",(F160*0.4),IF(D162="B",(F160*0.4),IF(D162="C",(F160*0.2),IF(D162="D",(F160*0.2)))))))))))))))))))))</f>
        <v/>
      </c>
      <c r="E194" s="430" t="s">
        <v>2</v>
      </c>
      <c r="F194" s="431"/>
      <c r="G194" s="431"/>
      <c r="H194" s="432"/>
    </row>
    <row r="195" spans="1:8" ht="13" x14ac:dyDescent="0.25">
      <c r="A195" s="420" t="s">
        <v>74</v>
      </c>
      <c r="B195" s="421"/>
      <c r="C195" s="421"/>
      <c r="D195" s="176" t="str">
        <f>IF(A160="","",IF(D164="Yes",0,IF(B160="",0,F160-D194)))</f>
        <v/>
      </c>
      <c r="E195" s="177" t="s">
        <v>2</v>
      </c>
      <c r="F195" s="422" t="s">
        <v>624</v>
      </c>
      <c r="G195" s="423"/>
      <c r="H195" s="423"/>
    </row>
    <row r="196" spans="1:8" ht="13" x14ac:dyDescent="0.25">
      <c r="A196" s="161" t="s">
        <v>56</v>
      </c>
      <c r="B196" s="162" t="str">
        <f>IF('STEP 2-WQv Calculation'!$B$4="","",'STEP 2-WQv Calculation'!$B$4)</f>
        <v/>
      </c>
      <c r="C196" s="163"/>
      <c r="D196" s="163"/>
      <c r="E196" s="163"/>
      <c r="F196" s="163"/>
      <c r="G196" s="163"/>
      <c r="H196" s="163"/>
    </row>
    <row r="197" spans="1:8" ht="13" x14ac:dyDescent="0.3">
      <c r="A197" s="360" t="s">
        <v>293</v>
      </c>
      <c r="B197" s="361"/>
      <c r="C197" s="361"/>
      <c r="D197" s="361"/>
      <c r="E197" s="361"/>
      <c r="F197" s="361"/>
      <c r="G197" s="361"/>
      <c r="H197" s="362"/>
    </row>
    <row r="198" spans="1:8" ht="38.5" x14ac:dyDescent="0.25">
      <c r="A198" s="164" t="s">
        <v>60</v>
      </c>
      <c r="B198" s="165" t="s">
        <v>600</v>
      </c>
      <c r="C198" s="165" t="s">
        <v>601</v>
      </c>
      <c r="D198" s="165" t="s">
        <v>602</v>
      </c>
      <c r="E198" s="165" t="s">
        <v>64</v>
      </c>
      <c r="F198" s="165" t="s">
        <v>603</v>
      </c>
      <c r="G198" s="165" t="s">
        <v>604</v>
      </c>
      <c r="H198" s="166" t="s">
        <v>13</v>
      </c>
    </row>
    <row r="199" spans="1:8" x14ac:dyDescent="0.25">
      <c r="A199" s="178"/>
      <c r="B199" s="167" t="str">
        <f>IF($A199="","",(LOOKUP($A199,'STEP 2-WQv Calculation'!$A$8:$A$37,'STEP 2-WQv Calculation'!$B$8:$B$37)))</f>
        <v/>
      </c>
      <c r="C199" s="167" t="str">
        <f>IF($A199="","",(LOOKUP($A199,'STEP 2-WQv Calculation'!$A$8:$A$37,'STEP 2-WQv Calculation'!$C$8:$C$37)))</f>
        <v/>
      </c>
      <c r="D199" s="168" t="str">
        <f>IF($A199="","",(LOOKUP($A199,'STEP 2-WQv Calculation'!$A$8:$A$37,'STEP 2-WQv Calculation'!$D$8:$D$37)))</f>
        <v/>
      </c>
      <c r="E199" s="167" t="str">
        <f>IF($A199="","",(LOOKUP($A199,'STEP 2-WQv Calculation'!$A$8:$A$37,'STEP 2-WQv Calculation'!$E$8:$E$37)))</f>
        <v/>
      </c>
      <c r="F199" s="169" t="str">
        <f>IF($A199="","",(LOOKUP($A199,'STEP 2-WQv Calculation'!$A$8:$A$37,'STEP 2-WQv Calculation'!$F$8:$F$37)))</f>
        <v/>
      </c>
      <c r="G199" s="170">
        <f>'STEP 2-WQv Calculation'!$B$5</f>
        <v>0</v>
      </c>
      <c r="H199" s="171" t="str">
        <f>IF($A199="","",(LOOKUP($A199,'STEP 2-WQv Calculation'!$A$8:$A$37,'STEP 2-WQv Calculation'!$G$8:$G$37)))</f>
        <v/>
      </c>
    </row>
    <row r="200" spans="1:8" ht="13" x14ac:dyDescent="0.3">
      <c r="A200" s="360" t="s">
        <v>226</v>
      </c>
      <c r="B200" s="361"/>
      <c r="C200" s="361"/>
      <c r="D200" s="361"/>
      <c r="E200" s="361"/>
      <c r="F200" s="361"/>
      <c r="G200" s="361"/>
      <c r="H200" s="362"/>
    </row>
    <row r="201" spans="1:8" x14ac:dyDescent="0.25">
      <c r="A201" s="354" t="s">
        <v>325</v>
      </c>
      <c r="B201" s="355"/>
      <c r="C201" s="356"/>
      <c r="D201" s="139"/>
      <c r="E201" s="357"/>
      <c r="F201" s="358"/>
      <c r="G201" s="358"/>
      <c r="H201" s="359"/>
    </row>
    <row r="202" spans="1:8" x14ac:dyDescent="0.25">
      <c r="A202" s="242" t="s">
        <v>592</v>
      </c>
      <c r="B202" s="243"/>
      <c r="C202" s="244"/>
      <c r="D202" s="139"/>
      <c r="E202" s="322" t="str">
        <f>IF(D202="Yes","Impermeable liner required","")</f>
        <v/>
      </c>
      <c r="F202" s="323"/>
      <c r="G202" s="323"/>
      <c r="H202" s="324"/>
    </row>
    <row r="203" spans="1:8" x14ac:dyDescent="0.25">
      <c r="A203" s="242" t="s">
        <v>589</v>
      </c>
      <c r="B203" s="243"/>
      <c r="C203" s="244"/>
      <c r="D203" s="211"/>
      <c r="E203" s="322" t="str">
        <f>IF(D203="","Refer to Section 4.14 Stormwater Hotspots",IF(D203="Yes","Credit for RRv and WQv treated cannot be applied to first practice in series",""))</f>
        <v>Refer to Section 4.14 Stormwater Hotspots</v>
      </c>
      <c r="F203" s="323"/>
      <c r="G203" s="323"/>
      <c r="H203" s="324"/>
    </row>
    <row r="204" spans="1:8" x14ac:dyDescent="0.25">
      <c r="A204" s="242" t="s">
        <v>326</v>
      </c>
      <c r="B204" s="243"/>
      <c r="C204" s="244"/>
      <c r="D204" s="135" t="str">
        <f>IF(B199="","",IF(B199&gt;5,"Yes","No"))</f>
        <v/>
      </c>
      <c r="E204" s="322" t="str">
        <f>IF(D204="Yes","Does not meet design criteria","")</f>
        <v/>
      </c>
      <c r="F204" s="323"/>
      <c r="G204" s="323"/>
      <c r="H204" s="324"/>
    </row>
    <row r="205" spans="1:8" x14ac:dyDescent="0.25">
      <c r="A205" s="242" t="s">
        <v>296</v>
      </c>
      <c r="B205" s="243"/>
      <c r="C205" s="244"/>
      <c r="D205" s="139"/>
      <c r="E205" s="322" t="str">
        <f>IF(D205="","",IF(D205&lt;2,"Impermeable liner required",""))</f>
        <v/>
      </c>
      <c r="F205" s="323"/>
      <c r="G205" s="323"/>
      <c r="H205" s="324"/>
    </row>
    <row r="206" spans="1:8" x14ac:dyDescent="0.25">
      <c r="A206" s="242" t="s">
        <v>297</v>
      </c>
      <c r="B206" s="243"/>
      <c r="C206" s="244"/>
      <c r="D206" s="139"/>
      <c r="E206" s="322" t="str">
        <f>IF(D206="","",IF(D206&lt;2,"Impermeable liner required",""))</f>
        <v/>
      </c>
      <c r="F206" s="323"/>
      <c r="G206" s="323"/>
      <c r="H206" s="324"/>
    </row>
    <row r="207" spans="1:8" x14ac:dyDescent="0.25">
      <c r="A207" s="242" t="s">
        <v>507</v>
      </c>
      <c r="B207" s="243"/>
      <c r="C207" s="244"/>
      <c r="D207" s="139"/>
      <c r="E207" s="322" t="str">
        <f>IF(D207="","",IF(D207&lt;(F199*0.1),"Does not meet design crtieria",""))</f>
        <v/>
      </c>
      <c r="F207" s="323"/>
      <c r="G207" s="323"/>
      <c r="H207" s="324"/>
    </row>
    <row r="208" spans="1:8" x14ac:dyDescent="0.25">
      <c r="A208" s="242" t="s">
        <v>605</v>
      </c>
      <c r="B208" s="243"/>
      <c r="C208" s="244"/>
      <c r="D208" s="139"/>
      <c r="E208" s="322" t="str">
        <f>IF(D208="","",IF(D208=30,"","Does not meet design criteria"))</f>
        <v/>
      </c>
      <c r="F208" s="323"/>
      <c r="G208" s="323"/>
      <c r="H208" s="324"/>
    </row>
    <row r="209" spans="1:8" x14ac:dyDescent="0.25">
      <c r="A209" s="242" t="s">
        <v>402</v>
      </c>
      <c r="B209" s="243"/>
      <c r="C209" s="244"/>
      <c r="D209" s="139"/>
      <c r="E209" s="322" t="str">
        <f>IF(D209="","",IF(D209&gt;=10,"","Does not meet design criteria"))</f>
        <v/>
      </c>
      <c r="F209" s="323"/>
      <c r="G209" s="323"/>
      <c r="H209" s="324"/>
    </row>
    <row r="210" spans="1:8" x14ac:dyDescent="0.25">
      <c r="A210" s="242" t="s">
        <v>552</v>
      </c>
      <c r="B210" s="243"/>
      <c r="C210" s="244"/>
      <c r="D210" s="139"/>
      <c r="E210" s="322" t="str">
        <f>IF(D210="No","Does not meet design criteria","")</f>
        <v/>
      </c>
      <c r="F210" s="323"/>
      <c r="G210" s="323"/>
      <c r="H210" s="324"/>
    </row>
    <row r="211" spans="1:8" ht="13" x14ac:dyDescent="0.3">
      <c r="A211" s="433" t="s">
        <v>232</v>
      </c>
      <c r="B211" s="434"/>
      <c r="C211" s="434"/>
      <c r="D211" s="361"/>
      <c r="E211" s="361"/>
      <c r="F211" s="361"/>
      <c r="G211" s="361"/>
      <c r="H211" s="362"/>
    </row>
    <row r="212" spans="1:8" ht="13" x14ac:dyDescent="0.3">
      <c r="A212" s="346"/>
      <c r="B212" s="347"/>
      <c r="C212" s="348"/>
      <c r="D212" s="47" t="s">
        <v>256</v>
      </c>
      <c r="E212" s="48" t="s">
        <v>257</v>
      </c>
      <c r="F212" s="349" t="s">
        <v>258</v>
      </c>
      <c r="G212" s="350"/>
      <c r="H212" s="351"/>
    </row>
    <row r="213" spans="1:8" x14ac:dyDescent="0.25">
      <c r="A213" s="289" t="s">
        <v>331</v>
      </c>
      <c r="B213" s="289"/>
      <c r="C213" s="159" t="s">
        <v>332</v>
      </c>
      <c r="D213" s="140"/>
      <c r="E213" s="193" t="s">
        <v>271</v>
      </c>
      <c r="F213" s="345" t="str">
        <f>IF(D213="","",IF(D213&lt;2,"Does not meet design criteria",IF(D213&gt;8,"Does not meet design criteria","")))</f>
        <v/>
      </c>
      <c r="G213" s="345"/>
      <c r="H213" s="345"/>
    </row>
    <row r="214" spans="1:8" x14ac:dyDescent="0.25">
      <c r="A214" s="289" t="s">
        <v>606</v>
      </c>
      <c r="B214" s="289"/>
      <c r="C214" s="159" t="s">
        <v>336</v>
      </c>
      <c r="D214" s="179"/>
      <c r="E214" s="193" t="s">
        <v>337</v>
      </c>
      <c r="F214" s="345" t="str">
        <f>IF(D214="","",IF(D214&lt;3,"Does not meet design criteria",""))</f>
        <v/>
      </c>
      <c r="G214" s="345"/>
      <c r="H214" s="345"/>
    </row>
    <row r="215" spans="1:8" x14ac:dyDescent="0.25">
      <c r="A215" s="289" t="s">
        <v>333</v>
      </c>
      <c r="B215" s="289"/>
      <c r="C215" s="159" t="s">
        <v>334</v>
      </c>
      <c r="D215" s="179"/>
      <c r="E215" s="193" t="s">
        <v>271</v>
      </c>
      <c r="F215" s="345"/>
      <c r="G215" s="345"/>
      <c r="H215" s="345"/>
    </row>
    <row r="216" spans="1:8" x14ac:dyDescent="0.25">
      <c r="A216" s="289" t="s">
        <v>338</v>
      </c>
      <c r="B216" s="289"/>
      <c r="C216" s="159" t="s">
        <v>339</v>
      </c>
      <c r="D216" s="160">
        <f>D213+(2*D214)*D215</f>
        <v>0</v>
      </c>
      <c r="E216" s="193" t="s">
        <v>271</v>
      </c>
      <c r="F216" s="345"/>
      <c r="G216" s="345"/>
      <c r="H216" s="345"/>
    </row>
    <row r="217" spans="1:8" x14ac:dyDescent="0.25">
      <c r="A217" s="289" t="s">
        <v>607</v>
      </c>
      <c r="B217" s="289"/>
      <c r="C217" s="159" t="s">
        <v>343</v>
      </c>
      <c r="D217" s="173">
        <f>(D216+D213)*D215/2</f>
        <v>0</v>
      </c>
      <c r="E217" s="193" t="s">
        <v>316</v>
      </c>
      <c r="F217" s="345"/>
      <c r="G217" s="345"/>
      <c r="H217" s="345"/>
    </row>
    <row r="218" spans="1:8" x14ac:dyDescent="0.25">
      <c r="A218" s="289" t="s">
        <v>608</v>
      </c>
      <c r="B218" s="289"/>
      <c r="C218" s="159" t="s">
        <v>349</v>
      </c>
      <c r="D218" s="173" t="str">
        <f>IF(F199="","",ROUNDUP(F199/D217,0))</f>
        <v/>
      </c>
      <c r="E218" s="193" t="s">
        <v>271</v>
      </c>
      <c r="F218" s="345"/>
      <c r="G218" s="345"/>
      <c r="H218" s="345"/>
    </row>
    <row r="219" spans="1:8" x14ac:dyDescent="0.25">
      <c r="A219" s="289" t="s">
        <v>609</v>
      </c>
      <c r="B219" s="289"/>
      <c r="C219" s="159" t="s">
        <v>351</v>
      </c>
      <c r="D219" s="140"/>
      <c r="E219" s="193" t="s">
        <v>271</v>
      </c>
      <c r="F219" s="345" t="str">
        <f>IF(D219="","",IF(D219&lt;D218,"Does not meet design criteria",""))</f>
        <v/>
      </c>
      <c r="G219" s="345"/>
      <c r="H219" s="345"/>
    </row>
    <row r="220" spans="1:8" x14ac:dyDescent="0.25">
      <c r="A220" s="289" t="s">
        <v>610</v>
      </c>
      <c r="B220" s="289"/>
      <c r="C220" s="159" t="s">
        <v>611</v>
      </c>
      <c r="D220" s="174">
        <f>IF(D217="","",D217*D219)</f>
        <v>0</v>
      </c>
      <c r="E220" s="193" t="s">
        <v>2</v>
      </c>
      <c r="F220" s="345" t="str">
        <f>IF(F199="","",IF(D220&lt;F199,"Does not meet sizing criteria",""))</f>
        <v/>
      </c>
      <c r="G220" s="345"/>
      <c r="H220" s="345"/>
    </row>
    <row r="221" spans="1:8" x14ac:dyDescent="0.25">
      <c r="A221" s="289" t="s">
        <v>354</v>
      </c>
      <c r="B221" s="289"/>
      <c r="C221" s="159" t="s">
        <v>355</v>
      </c>
      <c r="D221" s="140"/>
      <c r="E221" s="193" t="s">
        <v>271</v>
      </c>
      <c r="F221" s="345" t="str">
        <f>IF(D221="","",IF(D221&gt;1,"Does not meet design criteria",""))</f>
        <v/>
      </c>
      <c r="G221" s="345"/>
      <c r="H221" s="345"/>
    </row>
    <row r="222" spans="1:8" x14ac:dyDescent="0.25">
      <c r="A222" s="266" t="s">
        <v>356</v>
      </c>
      <c r="B222" s="268"/>
      <c r="C222" s="159" t="s">
        <v>357</v>
      </c>
      <c r="D222" s="62" t="str">
        <f>IF(D221="","",ROUNDUP(D221/D229,0))</f>
        <v/>
      </c>
      <c r="E222" s="193" t="s">
        <v>271</v>
      </c>
      <c r="F222" s="435"/>
      <c r="G222" s="436"/>
      <c r="H222" s="437"/>
    </row>
    <row r="223" spans="1:8" x14ac:dyDescent="0.25">
      <c r="A223" s="289" t="s">
        <v>358</v>
      </c>
      <c r="B223" s="289"/>
      <c r="C223" s="159" t="s">
        <v>217</v>
      </c>
      <c r="D223" s="62" t="str">
        <f>IF(D222="","",ROUNDUP(D219/D222,0))</f>
        <v/>
      </c>
      <c r="E223" s="193"/>
      <c r="F223" s="345"/>
      <c r="G223" s="345"/>
      <c r="H223" s="345"/>
    </row>
    <row r="224" spans="1:8" x14ac:dyDescent="0.25">
      <c r="A224" s="289" t="s">
        <v>612</v>
      </c>
      <c r="B224" s="289"/>
      <c r="C224" s="159" t="s">
        <v>613</v>
      </c>
      <c r="D224" s="179"/>
      <c r="E224" s="193" t="s">
        <v>271</v>
      </c>
      <c r="F224" s="345"/>
      <c r="G224" s="345"/>
      <c r="H224" s="345"/>
    </row>
    <row r="225" spans="1:8" x14ac:dyDescent="0.25">
      <c r="A225" s="289" t="s">
        <v>614</v>
      </c>
      <c r="B225" s="289"/>
      <c r="C225" s="159" t="s">
        <v>615</v>
      </c>
      <c r="D225" s="160">
        <f>D213+(2*D214)*D224</f>
        <v>0</v>
      </c>
      <c r="E225" s="193" t="s">
        <v>271</v>
      </c>
      <c r="F225" s="345"/>
      <c r="G225" s="345"/>
      <c r="H225" s="345"/>
    </row>
    <row r="226" spans="1:8" x14ac:dyDescent="0.25">
      <c r="A226" s="289" t="s">
        <v>616</v>
      </c>
      <c r="B226" s="289"/>
      <c r="C226" s="159" t="s">
        <v>617</v>
      </c>
      <c r="D226" s="173">
        <f>(D224*(D213+D225))/2</f>
        <v>0</v>
      </c>
      <c r="E226" s="193" t="s">
        <v>316</v>
      </c>
      <c r="F226" s="345"/>
      <c r="G226" s="345"/>
      <c r="H226" s="345"/>
    </row>
    <row r="227" spans="1:8" x14ac:dyDescent="0.25">
      <c r="A227" s="289" t="s">
        <v>618</v>
      </c>
      <c r="B227" s="289"/>
      <c r="C227" s="159" t="s">
        <v>619</v>
      </c>
      <c r="D227" s="173">
        <f>D213+((D224^2)+((D214*D224)^2)^0.5)*2</f>
        <v>0</v>
      </c>
      <c r="E227" s="193" t="s">
        <v>271</v>
      </c>
      <c r="F227" s="345"/>
      <c r="G227" s="345"/>
      <c r="H227" s="345"/>
    </row>
    <row r="228" spans="1:8" x14ac:dyDescent="0.25">
      <c r="A228" s="289" t="s">
        <v>620</v>
      </c>
      <c r="B228" s="289"/>
      <c r="C228" s="159" t="s">
        <v>268</v>
      </c>
      <c r="D228" s="180"/>
      <c r="E228" s="193"/>
      <c r="F228" s="345"/>
      <c r="G228" s="345"/>
      <c r="H228" s="345"/>
    </row>
    <row r="229" spans="1:8" x14ac:dyDescent="0.25">
      <c r="A229" s="289" t="s">
        <v>621</v>
      </c>
      <c r="B229" s="289"/>
      <c r="C229" s="159" t="s">
        <v>214</v>
      </c>
      <c r="D229" s="180"/>
      <c r="E229" s="193" t="s">
        <v>266</v>
      </c>
      <c r="F229" s="345" t="str">
        <f>IF(D229="","",IF(D229&lt;0.005,"Does not meet design criteria",IF(D229&gt;0.04,"Does not meet design criteria","")))</f>
        <v/>
      </c>
      <c r="G229" s="345"/>
      <c r="H229" s="345"/>
    </row>
    <row r="230" spans="1:8" x14ac:dyDescent="0.25">
      <c r="A230" s="289" t="s">
        <v>622</v>
      </c>
      <c r="B230" s="289"/>
      <c r="C230" s="159" t="s">
        <v>345</v>
      </c>
      <c r="D230" s="173" t="str">
        <f>IF(D229="","",ROUNDUP((1.49/D228)*((D226/D227)^(2/3))*(D229^(1/2)),2))</f>
        <v/>
      </c>
      <c r="E230" s="193" t="s">
        <v>346</v>
      </c>
      <c r="F230" s="345" t="str">
        <f>IF(D229="","",IF(D230&gt;5,"Does not meet design criteria",""))</f>
        <v/>
      </c>
      <c r="G230" s="345"/>
      <c r="H230" s="345"/>
    </row>
    <row r="231" spans="1:8" x14ac:dyDescent="0.25">
      <c r="A231" s="289" t="s">
        <v>623</v>
      </c>
      <c r="B231" s="289"/>
      <c r="C231" s="159"/>
      <c r="D231" s="140"/>
      <c r="E231" s="193" t="s">
        <v>271</v>
      </c>
      <c r="F231" s="345" t="str">
        <f>IF(D231="","",IF(D231&lt;0.5,"Does not meet design criteria",""))</f>
        <v/>
      </c>
      <c r="G231" s="345"/>
      <c r="H231" s="345"/>
    </row>
    <row r="232" spans="1:8" ht="13" x14ac:dyDescent="0.3">
      <c r="A232" s="424" t="s">
        <v>372</v>
      </c>
      <c r="B232" s="425"/>
      <c r="C232" s="425"/>
      <c r="D232" s="361"/>
      <c r="E232" s="361"/>
      <c r="F232" s="425"/>
      <c r="G232" s="425"/>
      <c r="H232" s="426"/>
    </row>
    <row r="233" spans="1:8" ht="13" x14ac:dyDescent="0.3">
      <c r="A233" s="427" t="s">
        <v>241</v>
      </c>
      <c r="B233" s="428"/>
      <c r="C233" s="429"/>
      <c r="D233" s="175" t="str">
        <f>IF(A199="","",IF(D203="Yes",0,IF(B199="",0,IF(D204="Yes",0,IF(D207&lt;(F199*0.1),0,IF(D208&lt;30,0,IF(D209&lt;10,0,IF(D210="No",0,IF(D213&lt;2,0,IF(D213&gt;8,0,IF(D214&lt;3,0,IF(D229&lt;0.005,0,IF(D229&gt;0.04,0,IF(D219&lt;D218,0,IF(D230&gt;5,0,IF(D231&lt;0.5,0,IF(D201="A",(F199*0.4),IF(D201="B",(F199*0.4),IF(D201="C",(F199*0.2),IF(D201="D",(F199*0.2)))))))))))))))))))))</f>
        <v/>
      </c>
      <c r="E233" s="430" t="s">
        <v>2</v>
      </c>
      <c r="F233" s="431"/>
      <c r="G233" s="431"/>
      <c r="H233" s="432"/>
    </row>
    <row r="234" spans="1:8" ht="13" x14ac:dyDescent="0.25">
      <c r="A234" s="420" t="s">
        <v>74</v>
      </c>
      <c r="B234" s="421"/>
      <c r="C234" s="421"/>
      <c r="D234" s="176" t="str">
        <f>IF(A199="","",IF(D203="Yes",0,IF(B199="",0,F199-D233)))</f>
        <v/>
      </c>
      <c r="E234" s="177" t="s">
        <v>2</v>
      </c>
      <c r="F234" s="422" t="s">
        <v>624</v>
      </c>
      <c r="G234" s="423"/>
      <c r="H234" s="423"/>
    </row>
    <row r="235" spans="1:8" ht="13" x14ac:dyDescent="0.25">
      <c r="A235" s="161" t="s">
        <v>56</v>
      </c>
      <c r="B235" s="162" t="str">
        <f>IF('STEP 2-WQv Calculation'!$B$4="","",'STEP 2-WQv Calculation'!$B$4)</f>
        <v/>
      </c>
      <c r="C235" s="163"/>
      <c r="D235" s="163"/>
      <c r="E235" s="163"/>
      <c r="F235" s="163"/>
      <c r="G235" s="163"/>
      <c r="H235" s="163"/>
    </row>
    <row r="236" spans="1:8" ht="13" x14ac:dyDescent="0.3">
      <c r="A236" s="360" t="s">
        <v>293</v>
      </c>
      <c r="B236" s="361"/>
      <c r="C236" s="361"/>
      <c r="D236" s="361"/>
      <c r="E236" s="361"/>
      <c r="F236" s="361"/>
      <c r="G236" s="361"/>
      <c r="H236" s="362"/>
    </row>
    <row r="237" spans="1:8" ht="38.5" x14ac:dyDescent="0.25">
      <c r="A237" s="164" t="s">
        <v>60</v>
      </c>
      <c r="B237" s="165" t="s">
        <v>600</v>
      </c>
      <c r="C237" s="165" t="s">
        <v>601</v>
      </c>
      <c r="D237" s="165" t="s">
        <v>602</v>
      </c>
      <c r="E237" s="165" t="s">
        <v>64</v>
      </c>
      <c r="F237" s="165" t="s">
        <v>603</v>
      </c>
      <c r="G237" s="165" t="s">
        <v>604</v>
      </c>
      <c r="H237" s="166" t="s">
        <v>13</v>
      </c>
    </row>
    <row r="238" spans="1:8" x14ac:dyDescent="0.25">
      <c r="A238" s="178"/>
      <c r="B238" s="167" t="str">
        <f>IF($A238="","",(LOOKUP($A238,'STEP 2-WQv Calculation'!$A$8:$A$37,'STEP 2-WQv Calculation'!$B$8:$B$37)))</f>
        <v/>
      </c>
      <c r="C238" s="167" t="str">
        <f>IF($A238="","",(LOOKUP($A238,'STEP 2-WQv Calculation'!$A$8:$A$37,'STEP 2-WQv Calculation'!$C$8:$C$37)))</f>
        <v/>
      </c>
      <c r="D238" s="168" t="str">
        <f>IF($A238="","",(LOOKUP($A238,'STEP 2-WQv Calculation'!$A$8:$A$37,'STEP 2-WQv Calculation'!$D$8:$D$37)))</f>
        <v/>
      </c>
      <c r="E238" s="167" t="str">
        <f>IF($A238="","",(LOOKUP($A238,'STEP 2-WQv Calculation'!$A$8:$A$37,'STEP 2-WQv Calculation'!$E$8:$E$37)))</f>
        <v/>
      </c>
      <c r="F238" s="169" t="str">
        <f>IF($A238="","",(LOOKUP($A238,'STEP 2-WQv Calculation'!$A$8:$A$37,'STEP 2-WQv Calculation'!$F$8:$F$37)))</f>
        <v/>
      </c>
      <c r="G238" s="170">
        <f>'STEP 2-WQv Calculation'!$B$5</f>
        <v>0</v>
      </c>
      <c r="H238" s="171" t="str">
        <f>IF($A238="","",(LOOKUP($A238,'STEP 2-WQv Calculation'!$A$8:$A$37,'STEP 2-WQv Calculation'!$G$8:$G$37)))</f>
        <v/>
      </c>
    </row>
    <row r="239" spans="1:8" ht="13" x14ac:dyDescent="0.3">
      <c r="A239" s="360" t="s">
        <v>226</v>
      </c>
      <c r="B239" s="361"/>
      <c r="C239" s="361"/>
      <c r="D239" s="361"/>
      <c r="E239" s="361"/>
      <c r="F239" s="361"/>
      <c r="G239" s="361"/>
      <c r="H239" s="362"/>
    </row>
    <row r="240" spans="1:8" x14ac:dyDescent="0.25">
      <c r="A240" s="354" t="s">
        <v>325</v>
      </c>
      <c r="B240" s="355"/>
      <c r="C240" s="356"/>
      <c r="D240" s="139"/>
      <c r="E240" s="357"/>
      <c r="F240" s="358"/>
      <c r="G240" s="358"/>
      <c r="H240" s="359"/>
    </row>
    <row r="241" spans="1:8" x14ac:dyDescent="0.25">
      <c r="A241" s="242" t="s">
        <v>592</v>
      </c>
      <c r="B241" s="243"/>
      <c r="C241" s="244"/>
      <c r="D241" s="139"/>
      <c r="E241" s="322" t="str">
        <f>IF(D241="Yes","Impermeable liner required","")</f>
        <v/>
      </c>
      <c r="F241" s="323"/>
      <c r="G241" s="323"/>
      <c r="H241" s="324"/>
    </row>
    <row r="242" spans="1:8" x14ac:dyDescent="0.25">
      <c r="A242" s="242" t="s">
        <v>589</v>
      </c>
      <c r="B242" s="243"/>
      <c r="C242" s="244"/>
      <c r="D242" s="211"/>
      <c r="E242" s="322" t="str">
        <f>IF(D242="","Refer to Section 4.14 Stormwater Hotspots",IF(D242="Yes","Credit for RRv and WQv treated cannot be applied to first practice in series",""))</f>
        <v>Refer to Section 4.14 Stormwater Hotspots</v>
      </c>
      <c r="F242" s="323"/>
      <c r="G242" s="323"/>
      <c r="H242" s="324"/>
    </row>
    <row r="243" spans="1:8" x14ac:dyDescent="0.25">
      <c r="A243" s="242" t="s">
        <v>326</v>
      </c>
      <c r="B243" s="243"/>
      <c r="C243" s="244"/>
      <c r="D243" s="135" t="str">
        <f>IF(B238="","",IF(B238&gt;5,"Yes","No"))</f>
        <v/>
      </c>
      <c r="E243" s="322" t="str">
        <f>IF(D243="Yes","Does not meet design criteria","")</f>
        <v/>
      </c>
      <c r="F243" s="323"/>
      <c r="G243" s="323"/>
      <c r="H243" s="324"/>
    </row>
    <row r="244" spans="1:8" x14ac:dyDescent="0.25">
      <c r="A244" s="242" t="s">
        <v>296</v>
      </c>
      <c r="B244" s="243"/>
      <c r="C244" s="244"/>
      <c r="D244" s="139"/>
      <c r="E244" s="322" t="str">
        <f>IF(D244="","",IF(D244&lt;2,"Impermeable liner required",""))</f>
        <v/>
      </c>
      <c r="F244" s="323"/>
      <c r="G244" s="323"/>
      <c r="H244" s="324"/>
    </row>
    <row r="245" spans="1:8" x14ac:dyDescent="0.25">
      <c r="A245" s="242" t="s">
        <v>297</v>
      </c>
      <c r="B245" s="243"/>
      <c r="C245" s="244"/>
      <c r="D245" s="139"/>
      <c r="E245" s="322" t="str">
        <f>IF(D245="","",IF(D245&lt;2,"Impermeable liner required",""))</f>
        <v/>
      </c>
      <c r="F245" s="323"/>
      <c r="G245" s="323"/>
      <c r="H245" s="324"/>
    </row>
    <row r="246" spans="1:8" x14ac:dyDescent="0.25">
      <c r="A246" s="242" t="s">
        <v>507</v>
      </c>
      <c r="B246" s="243"/>
      <c r="C246" s="244"/>
      <c r="D246" s="139"/>
      <c r="E246" s="322" t="str">
        <f>IF(D246="","",IF(D246&lt;(F238*0.1),"Does not meet design crtieria",""))</f>
        <v/>
      </c>
      <c r="F246" s="323"/>
      <c r="G246" s="323"/>
      <c r="H246" s="324"/>
    </row>
    <row r="247" spans="1:8" x14ac:dyDescent="0.25">
      <c r="A247" s="242" t="s">
        <v>605</v>
      </c>
      <c r="B247" s="243"/>
      <c r="C247" s="244"/>
      <c r="D247" s="139"/>
      <c r="E247" s="322" t="str">
        <f>IF(D247="","",IF(D247=30,"","Does not meet design criteria"))</f>
        <v/>
      </c>
      <c r="F247" s="323"/>
      <c r="G247" s="323"/>
      <c r="H247" s="324"/>
    </row>
    <row r="248" spans="1:8" x14ac:dyDescent="0.25">
      <c r="A248" s="242" t="s">
        <v>402</v>
      </c>
      <c r="B248" s="243"/>
      <c r="C248" s="244"/>
      <c r="D248" s="139"/>
      <c r="E248" s="322" t="str">
        <f>IF(D248="","",IF(D248&gt;=10,"","Does not meet design criteria"))</f>
        <v/>
      </c>
      <c r="F248" s="323"/>
      <c r="G248" s="323"/>
      <c r="H248" s="324"/>
    </row>
    <row r="249" spans="1:8" x14ac:dyDescent="0.25">
      <c r="A249" s="242" t="s">
        <v>552</v>
      </c>
      <c r="B249" s="243"/>
      <c r="C249" s="244"/>
      <c r="D249" s="139"/>
      <c r="E249" s="322" t="str">
        <f>IF(D249="No","Does not meet design criteria","")</f>
        <v/>
      </c>
      <c r="F249" s="323"/>
      <c r="G249" s="323"/>
      <c r="H249" s="324"/>
    </row>
    <row r="250" spans="1:8" ht="13" x14ac:dyDescent="0.3">
      <c r="A250" s="433" t="s">
        <v>232</v>
      </c>
      <c r="B250" s="434"/>
      <c r="C250" s="434"/>
      <c r="D250" s="361"/>
      <c r="E250" s="361"/>
      <c r="F250" s="361"/>
      <c r="G250" s="361"/>
      <c r="H250" s="362"/>
    </row>
    <row r="251" spans="1:8" ht="13" x14ac:dyDescent="0.3">
      <c r="A251" s="346"/>
      <c r="B251" s="347"/>
      <c r="C251" s="348"/>
      <c r="D251" s="47" t="s">
        <v>256</v>
      </c>
      <c r="E251" s="48" t="s">
        <v>257</v>
      </c>
      <c r="F251" s="349" t="s">
        <v>258</v>
      </c>
      <c r="G251" s="350"/>
      <c r="H251" s="351"/>
    </row>
    <row r="252" spans="1:8" x14ac:dyDescent="0.25">
      <c r="A252" s="289" t="s">
        <v>331</v>
      </c>
      <c r="B252" s="289"/>
      <c r="C252" s="159" t="s">
        <v>332</v>
      </c>
      <c r="D252" s="140"/>
      <c r="E252" s="193" t="s">
        <v>271</v>
      </c>
      <c r="F252" s="345" t="str">
        <f>IF(D252="","",IF(D252&lt;2,"Does not meet design criteria",IF(D252&gt;8,"Does not meet design criteria","")))</f>
        <v/>
      </c>
      <c r="G252" s="345"/>
      <c r="H252" s="345"/>
    </row>
    <row r="253" spans="1:8" x14ac:dyDescent="0.25">
      <c r="A253" s="289" t="s">
        <v>606</v>
      </c>
      <c r="B253" s="289"/>
      <c r="C253" s="159" t="s">
        <v>336</v>
      </c>
      <c r="D253" s="179"/>
      <c r="E253" s="193" t="s">
        <v>337</v>
      </c>
      <c r="F253" s="345" t="str">
        <f>IF(D253="","",IF(D253&lt;3,"Does not meet design criteria",""))</f>
        <v/>
      </c>
      <c r="G253" s="345"/>
      <c r="H253" s="345"/>
    </row>
    <row r="254" spans="1:8" x14ac:dyDescent="0.25">
      <c r="A254" s="289" t="s">
        <v>333</v>
      </c>
      <c r="B254" s="289"/>
      <c r="C254" s="159" t="s">
        <v>334</v>
      </c>
      <c r="D254" s="179"/>
      <c r="E254" s="193" t="s">
        <v>271</v>
      </c>
      <c r="F254" s="345"/>
      <c r="G254" s="345"/>
      <c r="H254" s="345"/>
    </row>
    <row r="255" spans="1:8" x14ac:dyDescent="0.25">
      <c r="A255" s="289" t="s">
        <v>338</v>
      </c>
      <c r="B255" s="289"/>
      <c r="C255" s="159" t="s">
        <v>339</v>
      </c>
      <c r="D255" s="160">
        <f>D252+(2*D253)*D254</f>
        <v>0</v>
      </c>
      <c r="E255" s="193" t="s">
        <v>271</v>
      </c>
      <c r="F255" s="345"/>
      <c r="G255" s="345"/>
      <c r="H255" s="345"/>
    </row>
    <row r="256" spans="1:8" x14ac:dyDescent="0.25">
      <c r="A256" s="289" t="s">
        <v>607</v>
      </c>
      <c r="B256" s="289"/>
      <c r="C256" s="159" t="s">
        <v>343</v>
      </c>
      <c r="D256" s="173">
        <f>(D255+D252)*D254/2</f>
        <v>0</v>
      </c>
      <c r="E256" s="193" t="s">
        <v>316</v>
      </c>
      <c r="F256" s="345"/>
      <c r="G256" s="345"/>
      <c r="H256" s="345"/>
    </row>
    <row r="257" spans="1:8" x14ac:dyDescent="0.25">
      <c r="A257" s="289" t="s">
        <v>608</v>
      </c>
      <c r="B257" s="289"/>
      <c r="C257" s="159" t="s">
        <v>349</v>
      </c>
      <c r="D257" s="173" t="str">
        <f>IF(F238="","",ROUNDUP(F238/D256,0))</f>
        <v/>
      </c>
      <c r="E257" s="193" t="s">
        <v>271</v>
      </c>
      <c r="F257" s="345"/>
      <c r="G257" s="345"/>
      <c r="H257" s="345"/>
    </row>
    <row r="258" spans="1:8" x14ac:dyDescent="0.25">
      <c r="A258" s="289" t="s">
        <v>609</v>
      </c>
      <c r="B258" s="289"/>
      <c r="C258" s="159" t="s">
        <v>351</v>
      </c>
      <c r="D258" s="140"/>
      <c r="E258" s="193" t="s">
        <v>271</v>
      </c>
      <c r="F258" s="345" t="str">
        <f>IF(D258="","",IF(D258&lt;D257,"Does not meet design criteria",""))</f>
        <v/>
      </c>
      <c r="G258" s="345"/>
      <c r="H258" s="345"/>
    </row>
    <row r="259" spans="1:8" x14ac:dyDescent="0.25">
      <c r="A259" s="289" t="s">
        <v>610</v>
      </c>
      <c r="B259" s="289"/>
      <c r="C259" s="159" t="s">
        <v>611</v>
      </c>
      <c r="D259" s="174">
        <f>IF(D256="","",D256*D258)</f>
        <v>0</v>
      </c>
      <c r="E259" s="193" t="s">
        <v>2</v>
      </c>
      <c r="F259" s="345" t="str">
        <f>IF(F238="","",IF(D259&lt;F238,"Does not meet sizing criteria",""))</f>
        <v/>
      </c>
      <c r="G259" s="345"/>
      <c r="H259" s="345"/>
    </row>
    <row r="260" spans="1:8" x14ac:dyDescent="0.25">
      <c r="A260" s="289" t="s">
        <v>354</v>
      </c>
      <c r="B260" s="289"/>
      <c r="C260" s="159" t="s">
        <v>355</v>
      </c>
      <c r="D260" s="140"/>
      <c r="E260" s="193" t="s">
        <v>271</v>
      </c>
      <c r="F260" s="345" t="str">
        <f>IF(D260="","",IF(D260&gt;1,"Does not meet design criteria",""))</f>
        <v/>
      </c>
      <c r="G260" s="345"/>
      <c r="H260" s="345"/>
    </row>
    <row r="261" spans="1:8" x14ac:dyDescent="0.25">
      <c r="A261" s="266" t="s">
        <v>356</v>
      </c>
      <c r="B261" s="268"/>
      <c r="C261" s="159" t="s">
        <v>357</v>
      </c>
      <c r="D261" s="62" t="str">
        <f>IF(D260="","",ROUNDUP(D260/D268,0))</f>
        <v/>
      </c>
      <c r="E261" s="193" t="s">
        <v>271</v>
      </c>
      <c r="F261" s="435"/>
      <c r="G261" s="436"/>
      <c r="H261" s="437"/>
    </row>
    <row r="262" spans="1:8" x14ac:dyDescent="0.25">
      <c r="A262" s="289" t="s">
        <v>358</v>
      </c>
      <c r="B262" s="289"/>
      <c r="C262" s="159" t="s">
        <v>217</v>
      </c>
      <c r="D262" s="62" t="str">
        <f>IF(D261="","",ROUNDUP(D258/D261,0))</f>
        <v/>
      </c>
      <c r="E262" s="193"/>
      <c r="F262" s="345"/>
      <c r="G262" s="345"/>
      <c r="H262" s="345"/>
    </row>
    <row r="263" spans="1:8" x14ac:dyDescent="0.25">
      <c r="A263" s="289" t="s">
        <v>612</v>
      </c>
      <c r="B263" s="289"/>
      <c r="C263" s="159" t="s">
        <v>613</v>
      </c>
      <c r="D263" s="179"/>
      <c r="E263" s="193" t="s">
        <v>271</v>
      </c>
      <c r="F263" s="345"/>
      <c r="G263" s="345"/>
      <c r="H263" s="345"/>
    </row>
    <row r="264" spans="1:8" x14ac:dyDescent="0.25">
      <c r="A264" s="289" t="s">
        <v>614</v>
      </c>
      <c r="B264" s="289"/>
      <c r="C264" s="159" t="s">
        <v>615</v>
      </c>
      <c r="D264" s="160">
        <f>D252+(2*D253)*D263</f>
        <v>0</v>
      </c>
      <c r="E264" s="193" t="s">
        <v>271</v>
      </c>
      <c r="F264" s="345"/>
      <c r="G264" s="345"/>
      <c r="H264" s="345"/>
    </row>
    <row r="265" spans="1:8" x14ac:dyDescent="0.25">
      <c r="A265" s="289" t="s">
        <v>616</v>
      </c>
      <c r="B265" s="289"/>
      <c r="C265" s="159" t="s">
        <v>617</v>
      </c>
      <c r="D265" s="173">
        <f>(D263*(D252+D264))/2</f>
        <v>0</v>
      </c>
      <c r="E265" s="193" t="s">
        <v>316</v>
      </c>
      <c r="F265" s="345"/>
      <c r="G265" s="345"/>
      <c r="H265" s="345"/>
    </row>
    <row r="266" spans="1:8" x14ac:dyDescent="0.25">
      <c r="A266" s="289" t="s">
        <v>618</v>
      </c>
      <c r="B266" s="289"/>
      <c r="C266" s="159" t="s">
        <v>619</v>
      </c>
      <c r="D266" s="173">
        <f>D252+((D263^2)+((D253*D263)^2)^0.5)*2</f>
        <v>0</v>
      </c>
      <c r="E266" s="193" t="s">
        <v>271</v>
      </c>
      <c r="F266" s="345"/>
      <c r="G266" s="345"/>
      <c r="H266" s="345"/>
    </row>
    <row r="267" spans="1:8" x14ac:dyDescent="0.25">
      <c r="A267" s="289" t="s">
        <v>620</v>
      </c>
      <c r="B267" s="289"/>
      <c r="C267" s="159" t="s">
        <v>268</v>
      </c>
      <c r="D267" s="180"/>
      <c r="E267" s="193"/>
      <c r="F267" s="345"/>
      <c r="G267" s="345"/>
      <c r="H267" s="345"/>
    </row>
    <row r="268" spans="1:8" x14ac:dyDescent="0.25">
      <c r="A268" s="289" t="s">
        <v>621</v>
      </c>
      <c r="B268" s="289"/>
      <c r="C268" s="159" t="s">
        <v>214</v>
      </c>
      <c r="D268" s="180"/>
      <c r="E268" s="193" t="s">
        <v>266</v>
      </c>
      <c r="F268" s="345" t="str">
        <f>IF(D268="","",IF(D268&lt;0.005,"Does not meet design criteria",IF(D268&gt;0.04,"Does not meet design criteria","")))</f>
        <v/>
      </c>
      <c r="G268" s="345"/>
      <c r="H268" s="345"/>
    </row>
    <row r="269" spans="1:8" x14ac:dyDescent="0.25">
      <c r="A269" s="289" t="s">
        <v>622</v>
      </c>
      <c r="B269" s="289"/>
      <c r="C269" s="159" t="s">
        <v>345</v>
      </c>
      <c r="D269" s="173" t="str">
        <f>IF(D268="","",ROUNDUP((1.49/D267)*((D265/D266)^(2/3))*(D268^(1/2)),2))</f>
        <v/>
      </c>
      <c r="E269" s="193" t="s">
        <v>346</v>
      </c>
      <c r="F269" s="345" t="str">
        <f>IF(D268="","",IF(D269&gt;5,"Does not meet design criteria",""))</f>
        <v/>
      </c>
      <c r="G269" s="345"/>
      <c r="H269" s="345"/>
    </row>
    <row r="270" spans="1:8" x14ac:dyDescent="0.25">
      <c r="A270" s="289" t="s">
        <v>623</v>
      </c>
      <c r="B270" s="289"/>
      <c r="C270" s="159"/>
      <c r="D270" s="140"/>
      <c r="E270" s="193" t="s">
        <v>271</v>
      </c>
      <c r="F270" s="345" t="str">
        <f>IF(D270="","",IF(D270&lt;0.5,"Does not meet design criteria",""))</f>
        <v/>
      </c>
      <c r="G270" s="345"/>
      <c r="H270" s="345"/>
    </row>
    <row r="271" spans="1:8" ht="13" x14ac:dyDescent="0.3">
      <c r="A271" s="424" t="s">
        <v>372</v>
      </c>
      <c r="B271" s="425"/>
      <c r="C271" s="425"/>
      <c r="D271" s="361"/>
      <c r="E271" s="361"/>
      <c r="F271" s="425"/>
      <c r="G271" s="425"/>
      <c r="H271" s="426"/>
    </row>
    <row r="272" spans="1:8" ht="13" x14ac:dyDescent="0.3">
      <c r="A272" s="427" t="s">
        <v>241</v>
      </c>
      <c r="B272" s="428"/>
      <c r="C272" s="429"/>
      <c r="D272" s="175" t="str">
        <f>IF(A238="","",IF(D242="Yes",0,IF(B238="",0,IF(D243="Yes",0,IF(D246&lt;(F238*0.1),0,IF(D247&lt;30,0,IF(D248&lt;10,0,IF(D249="No",0,IF(D252&lt;2,0,IF(D252&gt;8,0,IF(D253&lt;3,0,IF(D268&lt;0.005,0,IF(D268&gt;0.04,0,IF(D258&lt;D257,0,IF(D269&gt;5,0,IF(D270&lt;0.5,0,IF(D240="A",(F238*0.4),IF(D240="B",(F238*0.4),IF(D240="C",(F238*0.2),IF(D240="D",(F238*0.2)))))))))))))))))))))</f>
        <v/>
      </c>
      <c r="E272" s="430" t="s">
        <v>2</v>
      </c>
      <c r="F272" s="431"/>
      <c r="G272" s="431"/>
      <c r="H272" s="432"/>
    </row>
    <row r="273" spans="1:8" ht="13" x14ac:dyDescent="0.25">
      <c r="A273" s="420" t="s">
        <v>74</v>
      </c>
      <c r="B273" s="421"/>
      <c r="C273" s="421"/>
      <c r="D273" s="176" t="str">
        <f>IF(A238="","",IF(D242="Yes",0,IF(B238="",0,F238-D272)))</f>
        <v/>
      </c>
      <c r="E273" s="177" t="s">
        <v>2</v>
      </c>
      <c r="F273" s="422" t="s">
        <v>624</v>
      </c>
      <c r="G273" s="423"/>
      <c r="H273" s="423"/>
    </row>
    <row r="274" spans="1:8" ht="13" x14ac:dyDescent="0.25">
      <c r="A274" s="161" t="s">
        <v>56</v>
      </c>
      <c r="B274" s="162" t="str">
        <f>IF('STEP 2-WQv Calculation'!$B$4="","",'STEP 2-WQv Calculation'!$B$4)</f>
        <v/>
      </c>
      <c r="C274" s="163"/>
      <c r="D274" s="163"/>
      <c r="E274" s="163"/>
      <c r="F274" s="163"/>
      <c r="G274" s="163"/>
      <c r="H274" s="163"/>
    </row>
    <row r="275" spans="1:8" ht="13" x14ac:dyDescent="0.3">
      <c r="A275" s="360" t="s">
        <v>293</v>
      </c>
      <c r="B275" s="361"/>
      <c r="C275" s="361"/>
      <c r="D275" s="361"/>
      <c r="E275" s="361"/>
      <c r="F275" s="361"/>
      <c r="G275" s="361"/>
      <c r="H275" s="362"/>
    </row>
    <row r="276" spans="1:8" ht="38.5" x14ac:dyDescent="0.25">
      <c r="A276" s="164" t="s">
        <v>60</v>
      </c>
      <c r="B276" s="165" t="s">
        <v>600</v>
      </c>
      <c r="C276" s="165" t="s">
        <v>601</v>
      </c>
      <c r="D276" s="165" t="s">
        <v>602</v>
      </c>
      <c r="E276" s="165" t="s">
        <v>64</v>
      </c>
      <c r="F276" s="165" t="s">
        <v>603</v>
      </c>
      <c r="G276" s="165" t="s">
        <v>604</v>
      </c>
      <c r="H276" s="166" t="s">
        <v>13</v>
      </c>
    </row>
    <row r="277" spans="1:8" x14ac:dyDescent="0.25">
      <c r="A277" s="178"/>
      <c r="B277" s="167" t="str">
        <f>IF($A277="","",(LOOKUP($A277,'STEP 2-WQv Calculation'!$A$8:$A$37,'STEP 2-WQv Calculation'!$B$8:$B$37)))</f>
        <v/>
      </c>
      <c r="C277" s="167" t="str">
        <f>IF($A277="","",(LOOKUP($A277,'STEP 2-WQv Calculation'!$A$8:$A$37,'STEP 2-WQv Calculation'!$C$8:$C$37)))</f>
        <v/>
      </c>
      <c r="D277" s="168" t="str">
        <f>IF($A277="","",(LOOKUP($A277,'STEP 2-WQv Calculation'!$A$8:$A$37,'STEP 2-WQv Calculation'!$D$8:$D$37)))</f>
        <v/>
      </c>
      <c r="E277" s="167" t="str">
        <f>IF($A277="","",(LOOKUP($A277,'STEP 2-WQv Calculation'!$A$8:$A$37,'STEP 2-WQv Calculation'!$E$8:$E$37)))</f>
        <v/>
      </c>
      <c r="F277" s="169" t="str">
        <f>IF($A277="","",(LOOKUP($A277,'STEP 2-WQv Calculation'!$A$8:$A$37,'STEP 2-WQv Calculation'!$F$8:$F$37)))</f>
        <v/>
      </c>
      <c r="G277" s="170">
        <f>'STEP 2-WQv Calculation'!$B$5</f>
        <v>0</v>
      </c>
      <c r="H277" s="171" t="str">
        <f>IF($A277="","",(LOOKUP($A277,'STEP 2-WQv Calculation'!$A$8:$A$37,'STEP 2-WQv Calculation'!$G$8:$G$37)))</f>
        <v/>
      </c>
    </row>
    <row r="278" spans="1:8" ht="13" x14ac:dyDescent="0.3">
      <c r="A278" s="360" t="s">
        <v>226</v>
      </c>
      <c r="B278" s="361"/>
      <c r="C278" s="361"/>
      <c r="D278" s="361"/>
      <c r="E278" s="361"/>
      <c r="F278" s="361"/>
      <c r="G278" s="361"/>
      <c r="H278" s="362"/>
    </row>
    <row r="279" spans="1:8" x14ac:dyDescent="0.25">
      <c r="A279" s="354" t="s">
        <v>325</v>
      </c>
      <c r="B279" s="355"/>
      <c r="C279" s="356"/>
      <c r="D279" s="139"/>
      <c r="E279" s="357"/>
      <c r="F279" s="358"/>
      <c r="G279" s="358"/>
      <c r="H279" s="359"/>
    </row>
    <row r="280" spans="1:8" x14ac:dyDescent="0.25">
      <c r="A280" s="242" t="s">
        <v>592</v>
      </c>
      <c r="B280" s="243"/>
      <c r="C280" s="244"/>
      <c r="D280" s="139"/>
      <c r="E280" s="322" t="str">
        <f>IF(D280="Yes","Impermeable liner required","")</f>
        <v/>
      </c>
      <c r="F280" s="323"/>
      <c r="G280" s="323"/>
      <c r="H280" s="324"/>
    </row>
    <row r="281" spans="1:8" x14ac:dyDescent="0.25">
      <c r="A281" s="242" t="s">
        <v>589</v>
      </c>
      <c r="B281" s="243"/>
      <c r="C281" s="244"/>
      <c r="D281" s="211"/>
      <c r="E281" s="322" t="str">
        <f>IF(D281="","Refer to Section 4.14 Stormwater Hotspots",IF(D281="Yes","Credit for RRv and WQv treated cannot be applied to first practice in series",""))</f>
        <v>Refer to Section 4.14 Stormwater Hotspots</v>
      </c>
      <c r="F281" s="323"/>
      <c r="G281" s="323"/>
      <c r="H281" s="324"/>
    </row>
    <row r="282" spans="1:8" x14ac:dyDescent="0.25">
      <c r="A282" s="242" t="s">
        <v>326</v>
      </c>
      <c r="B282" s="243"/>
      <c r="C282" s="244"/>
      <c r="D282" s="135" t="str">
        <f>IF(B277="","",IF(B277&gt;5,"Yes","No"))</f>
        <v/>
      </c>
      <c r="E282" s="322" t="str">
        <f>IF(D282="Yes","Does not meet design criteria","")</f>
        <v/>
      </c>
      <c r="F282" s="323"/>
      <c r="G282" s="323"/>
      <c r="H282" s="324"/>
    </row>
    <row r="283" spans="1:8" x14ac:dyDescent="0.25">
      <c r="A283" s="242" t="s">
        <v>296</v>
      </c>
      <c r="B283" s="243"/>
      <c r="C283" s="244"/>
      <c r="D283" s="139"/>
      <c r="E283" s="322" t="str">
        <f>IF(D283="","",IF(D283&lt;2,"Impermeable liner required",""))</f>
        <v/>
      </c>
      <c r="F283" s="323"/>
      <c r="G283" s="323"/>
      <c r="H283" s="324"/>
    </row>
    <row r="284" spans="1:8" x14ac:dyDescent="0.25">
      <c r="A284" s="242" t="s">
        <v>297</v>
      </c>
      <c r="B284" s="243"/>
      <c r="C284" s="244"/>
      <c r="D284" s="139"/>
      <c r="E284" s="322" t="str">
        <f>IF(D284="","",IF(D284&lt;2,"Impermeable liner required",""))</f>
        <v/>
      </c>
      <c r="F284" s="323"/>
      <c r="G284" s="323"/>
      <c r="H284" s="324"/>
    </row>
    <row r="285" spans="1:8" x14ac:dyDescent="0.25">
      <c r="A285" s="242" t="s">
        <v>507</v>
      </c>
      <c r="B285" s="243"/>
      <c r="C285" s="244"/>
      <c r="D285" s="139"/>
      <c r="E285" s="322" t="str">
        <f>IF(D285="","",IF(D285&lt;(F277*0.1),"Does not meet design crtieria",""))</f>
        <v/>
      </c>
      <c r="F285" s="323"/>
      <c r="G285" s="323"/>
      <c r="H285" s="324"/>
    </row>
    <row r="286" spans="1:8" x14ac:dyDescent="0.25">
      <c r="A286" s="242" t="s">
        <v>605</v>
      </c>
      <c r="B286" s="243"/>
      <c r="C286" s="244"/>
      <c r="D286" s="139"/>
      <c r="E286" s="322" t="str">
        <f>IF(D286="","",IF(D286=30,"","Does not meet design criteria"))</f>
        <v/>
      </c>
      <c r="F286" s="323"/>
      <c r="G286" s="323"/>
      <c r="H286" s="324"/>
    </row>
    <row r="287" spans="1:8" x14ac:dyDescent="0.25">
      <c r="A287" s="242" t="s">
        <v>402</v>
      </c>
      <c r="B287" s="243"/>
      <c r="C287" s="244"/>
      <c r="D287" s="139"/>
      <c r="E287" s="322" t="str">
        <f>IF(D287="","",IF(D287&gt;=10,"","Does not meet design criteria"))</f>
        <v/>
      </c>
      <c r="F287" s="323"/>
      <c r="G287" s="323"/>
      <c r="H287" s="324"/>
    </row>
    <row r="288" spans="1:8" x14ac:dyDescent="0.25">
      <c r="A288" s="242" t="s">
        <v>552</v>
      </c>
      <c r="B288" s="243"/>
      <c r="C288" s="244"/>
      <c r="D288" s="139"/>
      <c r="E288" s="322" t="str">
        <f>IF(D288="No","Does not meet design criteria","")</f>
        <v/>
      </c>
      <c r="F288" s="323"/>
      <c r="G288" s="323"/>
      <c r="H288" s="324"/>
    </row>
    <row r="289" spans="1:8" ht="13" x14ac:dyDescent="0.3">
      <c r="A289" s="433" t="s">
        <v>232</v>
      </c>
      <c r="B289" s="434"/>
      <c r="C289" s="434"/>
      <c r="D289" s="361"/>
      <c r="E289" s="361"/>
      <c r="F289" s="361"/>
      <c r="G289" s="361"/>
      <c r="H289" s="362"/>
    </row>
    <row r="290" spans="1:8" ht="13" x14ac:dyDescent="0.3">
      <c r="A290" s="346"/>
      <c r="B290" s="347"/>
      <c r="C290" s="348"/>
      <c r="D290" s="47" t="s">
        <v>256</v>
      </c>
      <c r="E290" s="48" t="s">
        <v>257</v>
      </c>
      <c r="F290" s="349" t="s">
        <v>258</v>
      </c>
      <c r="G290" s="350"/>
      <c r="H290" s="351"/>
    </row>
    <row r="291" spans="1:8" x14ac:dyDescent="0.25">
      <c r="A291" s="289" t="s">
        <v>331</v>
      </c>
      <c r="B291" s="289"/>
      <c r="C291" s="159" t="s">
        <v>332</v>
      </c>
      <c r="D291" s="140"/>
      <c r="E291" s="193" t="s">
        <v>271</v>
      </c>
      <c r="F291" s="345" t="str">
        <f>IF(D291="","",IF(D291&lt;2,"Does not meet design criteria",IF(D291&gt;8,"Does not meet design criteria","")))</f>
        <v/>
      </c>
      <c r="G291" s="345"/>
      <c r="H291" s="345"/>
    </row>
    <row r="292" spans="1:8" x14ac:dyDescent="0.25">
      <c r="A292" s="289" t="s">
        <v>606</v>
      </c>
      <c r="B292" s="289"/>
      <c r="C292" s="159" t="s">
        <v>336</v>
      </c>
      <c r="D292" s="179"/>
      <c r="E292" s="193" t="s">
        <v>337</v>
      </c>
      <c r="F292" s="345" t="str">
        <f>IF(D292="","",IF(D292&lt;3,"Does not meet design criteria",""))</f>
        <v/>
      </c>
      <c r="G292" s="345"/>
      <c r="H292" s="345"/>
    </row>
    <row r="293" spans="1:8" x14ac:dyDescent="0.25">
      <c r="A293" s="289" t="s">
        <v>333</v>
      </c>
      <c r="B293" s="289"/>
      <c r="C293" s="159" t="s">
        <v>334</v>
      </c>
      <c r="D293" s="179"/>
      <c r="E293" s="193" t="s">
        <v>271</v>
      </c>
      <c r="F293" s="345"/>
      <c r="G293" s="345"/>
      <c r="H293" s="345"/>
    </row>
    <row r="294" spans="1:8" x14ac:dyDescent="0.25">
      <c r="A294" s="289" t="s">
        <v>338</v>
      </c>
      <c r="B294" s="289"/>
      <c r="C294" s="159" t="s">
        <v>339</v>
      </c>
      <c r="D294" s="160">
        <f>D291+(2*D292)*D293</f>
        <v>0</v>
      </c>
      <c r="E294" s="193" t="s">
        <v>271</v>
      </c>
      <c r="F294" s="345"/>
      <c r="G294" s="345"/>
      <c r="H294" s="345"/>
    </row>
    <row r="295" spans="1:8" x14ac:dyDescent="0.25">
      <c r="A295" s="289" t="s">
        <v>607</v>
      </c>
      <c r="B295" s="289"/>
      <c r="C295" s="159" t="s">
        <v>343</v>
      </c>
      <c r="D295" s="173">
        <f>(D294+D291)*D293/2</f>
        <v>0</v>
      </c>
      <c r="E295" s="193" t="s">
        <v>316</v>
      </c>
      <c r="F295" s="345"/>
      <c r="G295" s="345"/>
      <c r="H295" s="345"/>
    </row>
    <row r="296" spans="1:8" x14ac:dyDescent="0.25">
      <c r="A296" s="289" t="s">
        <v>608</v>
      </c>
      <c r="B296" s="289"/>
      <c r="C296" s="159" t="s">
        <v>349</v>
      </c>
      <c r="D296" s="173" t="str">
        <f>IF(F277="","",ROUNDUP(F277/D295,0))</f>
        <v/>
      </c>
      <c r="E296" s="193" t="s">
        <v>271</v>
      </c>
      <c r="F296" s="345"/>
      <c r="G296" s="345"/>
      <c r="H296" s="345"/>
    </row>
    <row r="297" spans="1:8" x14ac:dyDescent="0.25">
      <c r="A297" s="289" t="s">
        <v>609</v>
      </c>
      <c r="B297" s="289"/>
      <c r="C297" s="159" t="s">
        <v>351</v>
      </c>
      <c r="D297" s="140"/>
      <c r="E297" s="193" t="s">
        <v>271</v>
      </c>
      <c r="F297" s="345" t="str">
        <f>IF(D297="","",IF(D297&lt;D296,"Does not meet design criteria",""))</f>
        <v/>
      </c>
      <c r="G297" s="345"/>
      <c r="H297" s="345"/>
    </row>
    <row r="298" spans="1:8" x14ac:dyDescent="0.25">
      <c r="A298" s="289" t="s">
        <v>610</v>
      </c>
      <c r="B298" s="289"/>
      <c r="C298" s="159" t="s">
        <v>611</v>
      </c>
      <c r="D298" s="174">
        <f>IF(D295="","",D295*D297)</f>
        <v>0</v>
      </c>
      <c r="E298" s="193" t="s">
        <v>2</v>
      </c>
      <c r="F298" s="345" t="str">
        <f>IF(F277="","",IF(D298&lt;F277,"Does not meet sizing criteria",""))</f>
        <v/>
      </c>
      <c r="G298" s="345"/>
      <c r="H298" s="345"/>
    </row>
    <row r="299" spans="1:8" x14ac:dyDescent="0.25">
      <c r="A299" s="289" t="s">
        <v>354</v>
      </c>
      <c r="B299" s="289"/>
      <c r="C299" s="159" t="s">
        <v>355</v>
      </c>
      <c r="D299" s="140"/>
      <c r="E299" s="193" t="s">
        <v>271</v>
      </c>
      <c r="F299" s="345" t="str">
        <f>IF(D299="","",IF(D299&gt;1,"Does not meet design criteria",""))</f>
        <v/>
      </c>
      <c r="G299" s="345"/>
      <c r="H299" s="345"/>
    </row>
    <row r="300" spans="1:8" x14ac:dyDescent="0.25">
      <c r="A300" s="266" t="s">
        <v>356</v>
      </c>
      <c r="B300" s="268"/>
      <c r="C300" s="159" t="s">
        <v>357</v>
      </c>
      <c r="D300" s="62" t="str">
        <f>IF(D299="","",ROUNDUP(D299/D307,0))</f>
        <v/>
      </c>
      <c r="E300" s="193" t="s">
        <v>271</v>
      </c>
      <c r="F300" s="435"/>
      <c r="G300" s="436"/>
      <c r="H300" s="437"/>
    </row>
    <row r="301" spans="1:8" x14ac:dyDescent="0.25">
      <c r="A301" s="289" t="s">
        <v>358</v>
      </c>
      <c r="B301" s="289"/>
      <c r="C301" s="159" t="s">
        <v>217</v>
      </c>
      <c r="D301" s="62" t="str">
        <f>IF(D300="","",ROUNDUP(D297/D300,0))</f>
        <v/>
      </c>
      <c r="E301" s="193"/>
      <c r="F301" s="345"/>
      <c r="G301" s="345"/>
      <c r="H301" s="345"/>
    </row>
    <row r="302" spans="1:8" x14ac:dyDescent="0.25">
      <c r="A302" s="289" t="s">
        <v>612</v>
      </c>
      <c r="B302" s="289"/>
      <c r="C302" s="159" t="s">
        <v>613</v>
      </c>
      <c r="D302" s="179"/>
      <c r="E302" s="193" t="s">
        <v>271</v>
      </c>
      <c r="F302" s="345"/>
      <c r="G302" s="345"/>
      <c r="H302" s="345"/>
    </row>
    <row r="303" spans="1:8" x14ac:dyDescent="0.25">
      <c r="A303" s="289" t="s">
        <v>614</v>
      </c>
      <c r="B303" s="289"/>
      <c r="C303" s="159" t="s">
        <v>615</v>
      </c>
      <c r="D303" s="160">
        <f>D291+(2*D292)*D302</f>
        <v>0</v>
      </c>
      <c r="E303" s="193" t="s">
        <v>271</v>
      </c>
      <c r="F303" s="345"/>
      <c r="G303" s="345"/>
      <c r="H303" s="345"/>
    </row>
    <row r="304" spans="1:8" x14ac:dyDescent="0.25">
      <c r="A304" s="289" t="s">
        <v>616</v>
      </c>
      <c r="B304" s="289"/>
      <c r="C304" s="159" t="s">
        <v>617</v>
      </c>
      <c r="D304" s="173">
        <f>(D302*(D291+D303))/2</f>
        <v>0</v>
      </c>
      <c r="E304" s="193" t="s">
        <v>316</v>
      </c>
      <c r="F304" s="345"/>
      <c r="G304" s="345"/>
      <c r="H304" s="345"/>
    </row>
    <row r="305" spans="1:8" x14ac:dyDescent="0.25">
      <c r="A305" s="289" t="s">
        <v>618</v>
      </c>
      <c r="B305" s="289"/>
      <c r="C305" s="159" t="s">
        <v>619</v>
      </c>
      <c r="D305" s="173">
        <f>D291+((D302^2)+((D292*D302)^2)^0.5)*2</f>
        <v>0</v>
      </c>
      <c r="E305" s="193" t="s">
        <v>271</v>
      </c>
      <c r="F305" s="345"/>
      <c r="G305" s="345"/>
      <c r="H305" s="345"/>
    </row>
    <row r="306" spans="1:8" x14ac:dyDescent="0.25">
      <c r="A306" s="289" t="s">
        <v>620</v>
      </c>
      <c r="B306" s="289"/>
      <c r="C306" s="159" t="s">
        <v>268</v>
      </c>
      <c r="D306" s="180"/>
      <c r="E306" s="193"/>
      <c r="F306" s="345"/>
      <c r="G306" s="345"/>
      <c r="H306" s="345"/>
    </row>
    <row r="307" spans="1:8" x14ac:dyDescent="0.25">
      <c r="A307" s="289" t="s">
        <v>621</v>
      </c>
      <c r="B307" s="289"/>
      <c r="C307" s="159" t="s">
        <v>214</v>
      </c>
      <c r="D307" s="180"/>
      <c r="E307" s="193" t="s">
        <v>266</v>
      </c>
      <c r="F307" s="345" t="str">
        <f>IF(D307="","",IF(D307&lt;0.005,"Does not meet design criteria",IF(D307&gt;0.04,"Does not meet design criteria","")))</f>
        <v/>
      </c>
      <c r="G307" s="345"/>
      <c r="H307" s="345"/>
    </row>
    <row r="308" spans="1:8" x14ac:dyDescent="0.25">
      <c r="A308" s="289" t="s">
        <v>622</v>
      </c>
      <c r="B308" s="289"/>
      <c r="C308" s="159" t="s">
        <v>345</v>
      </c>
      <c r="D308" s="173" t="str">
        <f>IF(D307="","",ROUNDUP((1.49/D306)*((D304/D305)^(2/3))*(D307^(1/2)),2))</f>
        <v/>
      </c>
      <c r="E308" s="193" t="s">
        <v>346</v>
      </c>
      <c r="F308" s="345" t="str">
        <f>IF(D307="","",IF(D308&gt;5,"Does not meet design criteria",""))</f>
        <v/>
      </c>
      <c r="G308" s="345"/>
      <c r="H308" s="345"/>
    </row>
    <row r="309" spans="1:8" x14ac:dyDescent="0.25">
      <c r="A309" s="289" t="s">
        <v>623</v>
      </c>
      <c r="B309" s="289"/>
      <c r="C309" s="159"/>
      <c r="D309" s="140"/>
      <c r="E309" s="193" t="s">
        <v>271</v>
      </c>
      <c r="F309" s="345" t="str">
        <f>IF(D309="","",IF(D309&lt;0.5,"Does not meet design criteria",""))</f>
        <v/>
      </c>
      <c r="G309" s="345"/>
      <c r="H309" s="345"/>
    </row>
    <row r="310" spans="1:8" ht="13" x14ac:dyDescent="0.3">
      <c r="A310" s="424" t="s">
        <v>372</v>
      </c>
      <c r="B310" s="425"/>
      <c r="C310" s="425"/>
      <c r="D310" s="361"/>
      <c r="E310" s="361"/>
      <c r="F310" s="425"/>
      <c r="G310" s="425"/>
      <c r="H310" s="426"/>
    </row>
    <row r="311" spans="1:8" ht="13" x14ac:dyDescent="0.3">
      <c r="A311" s="427" t="s">
        <v>241</v>
      </c>
      <c r="B311" s="428"/>
      <c r="C311" s="429"/>
      <c r="D311" s="175" t="str">
        <f>IF(A277="","",IF(D281="Yes",0,IF(B277="",0,IF(D282="Yes",0,IF(D285&lt;(F277*0.1),0,IF(D286&lt;30,0,IF(D287&lt;10,0,IF(D288="No",0,IF(D291&lt;2,0,IF(D291&gt;8,0,IF(D292&lt;3,0,IF(D307&lt;0.005,0,IF(D307&gt;0.04,0,IF(D297&lt;D296,0,IF(D308&gt;5,0,IF(D309&lt;0.5,0,IF(D279="A",(F277*0.4),IF(D279="B",(F277*0.4),IF(D279="C",(F277*0.2),IF(D279="D",(F277*0.2)))))))))))))))))))))</f>
        <v/>
      </c>
      <c r="E311" s="430" t="s">
        <v>2</v>
      </c>
      <c r="F311" s="431"/>
      <c r="G311" s="431"/>
      <c r="H311" s="432"/>
    </row>
    <row r="312" spans="1:8" ht="13" x14ac:dyDescent="0.25">
      <c r="A312" s="420" t="s">
        <v>74</v>
      </c>
      <c r="B312" s="421"/>
      <c r="C312" s="421"/>
      <c r="D312" s="176" t="str">
        <f>IF(A277="","",IF(D281="Yes",0,IF(B277="",0,F277-D311)))</f>
        <v/>
      </c>
      <c r="E312" s="177" t="s">
        <v>2</v>
      </c>
      <c r="F312" s="422" t="s">
        <v>624</v>
      </c>
      <c r="G312" s="423"/>
      <c r="H312" s="423"/>
    </row>
    <row r="313" spans="1:8" ht="13" x14ac:dyDescent="0.25">
      <c r="A313" s="161" t="s">
        <v>56</v>
      </c>
      <c r="B313" s="162" t="str">
        <f>IF('STEP 2-WQv Calculation'!$B$4="","",'STEP 2-WQv Calculation'!$B$4)</f>
        <v/>
      </c>
      <c r="C313" s="163"/>
      <c r="D313" s="163"/>
      <c r="E313" s="163"/>
      <c r="F313" s="163"/>
      <c r="G313" s="163"/>
      <c r="H313" s="163"/>
    </row>
    <row r="314" spans="1:8" ht="13" x14ac:dyDescent="0.3">
      <c r="A314" s="360" t="s">
        <v>293</v>
      </c>
      <c r="B314" s="361"/>
      <c r="C314" s="361"/>
      <c r="D314" s="361"/>
      <c r="E314" s="361"/>
      <c r="F314" s="361"/>
      <c r="G314" s="361"/>
      <c r="H314" s="362"/>
    </row>
    <row r="315" spans="1:8" ht="38.5" x14ac:dyDescent="0.25">
      <c r="A315" s="164" t="s">
        <v>60</v>
      </c>
      <c r="B315" s="165" t="s">
        <v>600</v>
      </c>
      <c r="C315" s="165" t="s">
        <v>601</v>
      </c>
      <c r="D315" s="165" t="s">
        <v>602</v>
      </c>
      <c r="E315" s="165" t="s">
        <v>64</v>
      </c>
      <c r="F315" s="165" t="s">
        <v>603</v>
      </c>
      <c r="G315" s="165" t="s">
        <v>604</v>
      </c>
      <c r="H315" s="166" t="s">
        <v>13</v>
      </c>
    </row>
    <row r="316" spans="1:8" x14ac:dyDescent="0.25">
      <c r="A316" s="178"/>
      <c r="B316" s="167" t="str">
        <f>IF($A316="","",(LOOKUP($A316,'STEP 2-WQv Calculation'!$A$8:$A$37,'STEP 2-WQv Calculation'!$B$8:$B$37)))</f>
        <v/>
      </c>
      <c r="C316" s="167" t="str">
        <f>IF($A316="","",(LOOKUP($A316,'STEP 2-WQv Calculation'!$A$8:$A$37,'STEP 2-WQv Calculation'!$C$8:$C$37)))</f>
        <v/>
      </c>
      <c r="D316" s="168" t="str">
        <f>IF($A316="","",(LOOKUP($A316,'STEP 2-WQv Calculation'!$A$8:$A$37,'STEP 2-WQv Calculation'!$D$8:$D$37)))</f>
        <v/>
      </c>
      <c r="E316" s="167" t="str">
        <f>IF($A316="","",(LOOKUP($A316,'STEP 2-WQv Calculation'!$A$8:$A$37,'STEP 2-WQv Calculation'!$E$8:$E$37)))</f>
        <v/>
      </c>
      <c r="F316" s="169" t="str">
        <f>IF($A316="","",(LOOKUP($A316,'STEP 2-WQv Calculation'!$A$8:$A$37,'STEP 2-WQv Calculation'!$F$8:$F$37)))</f>
        <v/>
      </c>
      <c r="G316" s="170">
        <f>'STEP 2-WQv Calculation'!$B$5</f>
        <v>0</v>
      </c>
      <c r="H316" s="171" t="str">
        <f>IF($A316="","",(LOOKUP($A316,'STEP 2-WQv Calculation'!$A$8:$A$37,'STEP 2-WQv Calculation'!$G$8:$G$37)))</f>
        <v/>
      </c>
    </row>
    <row r="317" spans="1:8" ht="13" x14ac:dyDescent="0.3">
      <c r="A317" s="360" t="s">
        <v>226</v>
      </c>
      <c r="B317" s="361"/>
      <c r="C317" s="361"/>
      <c r="D317" s="361"/>
      <c r="E317" s="361"/>
      <c r="F317" s="361"/>
      <c r="G317" s="361"/>
      <c r="H317" s="362"/>
    </row>
    <row r="318" spans="1:8" x14ac:dyDescent="0.25">
      <c r="A318" s="354" t="s">
        <v>325</v>
      </c>
      <c r="B318" s="355"/>
      <c r="C318" s="356"/>
      <c r="D318" s="139"/>
      <c r="E318" s="357"/>
      <c r="F318" s="358"/>
      <c r="G318" s="358"/>
      <c r="H318" s="359"/>
    </row>
    <row r="319" spans="1:8" x14ac:dyDescent="0.25">
      <c r="A319" s="242" t="s">
        <v>592</v>
      </c>
      <c r="B319" s="243"/>
      <c r="C319" s="244"/>
      <c r="D319" s="139"/>
      <c r="E319" s="322" t="str">
        <f>IF(D319="Yes","Impermeable liner required","")</f>
        <v/>
      </c>
      <c r="F319" s="323"/>
      <c r="G319" s="323"/>
      <c r="H319" s="324"/>
    </row>
    <row r="320" spans="1:8" x14ac:dyDescent="0.25">
      <c r="A320" s="242" t="s">
        <v>589</v>
      </c>
      <c r="B320" s="243"/>
      <c r="C320" s="244"/>
      <c r="D320" s="211"/>
      <c r="E320" s="322" t="str">
        <f>IF(D320="","Refer to Section 4.14 Stormwater Hotspots",IF(D320="Yes","Credit for RRv and WQv treated cannot be applied to first practice in series",""))</f>
        <v>Refer to Section 4.14 Stormwater Hotspots</v>
      </c>
      <c r="F320" s="323"/>
      <c r="G320" s="323"/>
      <c r="H320" s="324"/>
    </row>
    <row r="321" spans="1:8" x14ac:dyDescent="0.25">
      <c r="A321" s="242" t="s">
        <v>326</v>
      </c>
      <c r="B321" s="243"/>
      <c r="C321" s="244"/>
      <c r="D321" s="135" t="str">
        <f>IF(B316="","",IF(B316&gt;5,"Yes","No"))</f>
        <v/>
      </c>
      <c r="E321" s="322" t="str">
        <f>IF(D321="Yes","Does not meet design criteria","")</f>
        <v/>
      </c>
      <c r="F321" s="323"/>
      <c r="G321" s="323"/>
      <c r="H321" s="324"/>
    </row>
    <row r="322" spans="1:8" x14ac:dyDescent="0.25">
      <c r="A322" s="242" t="s">
        <v>296</v>
      </c>
      <c r="B322" s="243"/>
      <c r="C322" s="244"/>
      <c r="D322" s="139"/>
      <c r="E322" s="322" t="str">
        <f>IF(D322="","",IF(D322&lt;2,"Impermeable liner required",""))</f>
        <v/>
      </c>
      <c r="F322" s="323"/>
      <c r="G322" s="323"/>
      <c r="H322" s="324"/>
    </row>
    <row r="323" spans="1:8" x14ac:dyDescent="0.25">
      <c r="A323" s="242" t="s">
        <v>297</v>
      </c>
      <c r="B323" s="243"/>
      <c r="C323" s="244"/>
      <c r="D323" s="139"/>
      <c r="E323" s="322" t="str">
        <f>IF(D323="","",IF(D323&lt;2,"Impermeable liner required",""))</f>
        <v/>
      </c>
      <c r="F323" s="323"/>
      <c r="G323" s="323"/>
      <c r="H323" s="324"/>
    </row>
    <row r="324" spans="1:8" x14ac:dyDescent="0.25">
      <c r="A324" s="242" t="s">
        <v>507</v>
      </c>
      <c r="B324" s="243"/>
      <c r="C324" s="244"/>
      <c r="D324" s="139"/>
      <c r="E324" s="322" t="str">
        <f>IF(D324="","",IF(D324&lt;(F316*0.1),"Does not meet design crtieria",""))</f>
        <v/>
      </c>
      <c r="F324" s="323"/>
      <c r="G324" s="323"/>
      <c r="H324" s="324"/>
    </row>
    <row r="325" spans="1:8" x14ac:dyDescent="0.25">
      <c r="A325" s="242" t="s">
        <v>605</v>
      </c>
      <c r="B325" s="243"/>
      <c r="C325" s="244"/>
      <c r="D325" s="139"/>
      <c r="E325" s="322" t="str">
        <f>IF(D325="","",IF(D325=30,"","Does not meet design criteria"))</f>
        <v/>
      </c>
      <c r="F325" s="323"/>
      <c r="G325" s="323"/>
      <c r="H325" s="324"/>
    </row>
    <row r="326" spans="1:8" x14ac:dyDescent="0.25">
      <c r="A326" s="242" t="s">
        <v>402</v>
      </c>
      <c r="B326" s="243"/>
      <c r="C326" s="244"/>
      <c r="D326" s="139"/>
      <c r="E326" s="322" t="str">
        <f>IF(D326="","",IF(D326&gt;=10,"","Does not meet design criteria"))</f>
        <v/>
      </c>
      <c r="F326" s="323"/>
      <c r="G326" s="323"/>
      <c r="H326" s="324"/>
    </row>
    <row r="327" spans="1:8" x14ac:dyDescent="0.25">
      <c r="A327" s="242" t="s">
        <v>552</v>
      </c>
      <c r="B327" s="243"/>
      <c r="C327" s="244"/>
      <c r="D327" s="139"/>
      <c r="E327" s="322" t="str">
        <f>IF(D327="No","Does not meet design criteria","")</f>
        <v/>
      </c>
      <c r="F327" s="323"/>
      <c r="G327" s="323"/>
      <c r="H327" s="324"/>
    </row>
    <row r="328" spans="1:8" ht="13" x14ac:dyDescent="0.3">
      <c r="A328" s="433" t="s">
        <v>232</v>
      </c>
      <c r="B328" s="434"/>
      <c r="C328" s="434"/>
      <c r="D328" s="361"/>
      <c r="E328" s="361"/>
      <c r="F328" s="361"/>
      <c r="G328" s="361"/>
      <c r="H328" s="362"/>
    </row>
    <row r="329" spans="1:8" ht="13" x14ac:dyDescent="0.3">
      <c r="A329" s="346"/>
      <c r="B329" s="347"/>
      <c r="C329" s="348"/>
      <c r="D329" s="47" t="s">
        <v>256</v>
      </c>
      <c r="E329" s="48" t="s">
        <v>257</v>
      </c>
      <c r="F329" s="349" t="s">
        <v>258</v>
      </c>
      <c r="G329" s="350"/>
      <c r="H329" s="351"/>
    </row>
    <row r="330" spans="1:8" x14ac:dyDescent="0.25">
      <c r="A330" s="289" t="s">
        <v>331</v>
      </c>
      <c r="B330" s="289"/>
      <c r="C330" s="159" t="s">
        <v>332</v>
      </c>
      <c r="D330" s="140"/>
      <c r="E330" s="193" t="s">
        <v>271</v>
      </c>
      <c r="F330" s="345" t="str">
        <f>IF(D330="","",IF(D330&lt;2,"Does not meet design criteria",IF(D330&gt;8,"Does not meet design criteria","")))</f>
        <v/>
      </c>
      <c r="G330" s="345"/>
      <c r="H330" s="345"/>
    </row>
    <row r="331" spans="1:8" x14ac:dyDescent="0.25">
      <c r="A331" s="289" t="s">
        <v>606</v>
      </c>
      <c r="B331" s="289"/>
      <c r="C331" s="159" t="s">
        <v>336</v>
      </c>
      <c r="D331" s="179"/>
      <c r="E331" s="193" t="s">
        <v>337</v>
      </c>
      <c r="F331" s="345" t="str">
        <f>IF(D331="","",IF(D331&lt;3,"Does not meet design criteria",""))</f>
        <v/>
      </c>
      <c r="G331" s="345"/>
      <c r="H331" s="345"/>
    </row>
    <row r="332" spans="1:8" x14ac:dyDescent="0.25">
      <c r="A332" s="289" t="s">
        <v>333</v>
      </c>
      <c r="B332" s="289"/>
      <c r="C332" s="159" t="s">
        <v>334</v>
      </c>
      <c r="D332" s="179"/>
      <c r="E332" s="193" t="s">
        <v>271</v>
      </c>
      <c r="F332" s="345"/>
      <c r="G332" s="345"/>
      <c r="H332" s="345"/>
    </row>
    <row r="333" spans="1:8" x14ac:dyDescent="0.25">
      <c r="A333" s="289" t="s">
        <v>338</v>
      </c>
      <c r="B333" s="289"/>
      <c r="C333" s="159" t="s">
        <v>339</v>
      </c>
      <c r="D333" s="160">
        <f>D330+(2*D331)*D332</f>
        <v>0</v>
      </c>
      <c r="E333" s="193" t="s">
        <v>271</v>
      </c>
      <c r="F333" s="345"/>
      <c r="G333" s="345"/>
      <c r="H333" s="345"/>
    </row>
    <row r="334" spans="1:8" x14ac:dyDescent="0.25">
      <c r="A334" s="289" t="s">
        <v>607</v>
      </c>
      <c r="B334" s="289"/>
      <c r="C334" s="159" t="s">
        <v>343</v>
      </c>
      <c r="D334" s="173">
        <f>(D333+D330)*D332/2</f>
        <v>0</v>
      </c>
      <c r="E334" s="193" t="s">
        <v>316</v>
      </c>
      <c r="F334" s="345"/>
      <c r="G334" s="345"/>
      <c r="H334" s="345"/>
    </row>
    <row r="335" spans="1:8" x14ac:dyDescent="0.25">
      <c r="A335" s="289" t="s">
        <v>608</v>
      </c>
      <c r="B335" s="289"/>
      <c r="C335" s="159" t="s">
        <v>349</v>
      </c>
      <c r="D335" s="173" t="str">
        <f>IF(F316="","",ROUNDUP(F316/D334,0))</f>
        <v/>
      </c>
      <c r="E335" s="193" t="s">
        <v>271</v>
      </c>
      <c r="F335" s="345"/>
      <c r="G335" s="345"/>
      <c r="H335" s="345"/>
    </row>
    <row r="336" spans="1:8" x14ac:dyDescent="0.25">
      <c r="A336" s="289" t="s">
        <v>609</v>
      </c>
      <c r="B336" s="289"/>
      <c r="C336" s="159" t="s">
        <v>351</v>
      </c>
      <c r="D336" s="140"/>
      <c r="E336" s="193" t="s">
        <v>271</v>
      </c>
      <c r="F336" s="345" t="str">
        <f>IF(D336="","",IF(D336&lt;D335,"Does not meet design criteria",""))</f>
        <v/>
      </c>
      <c r="G336" s="345"/>
      <c r="H336" s="345"/>
    </row>
    <row r="337" spans="1:8" x14ac:dyDescent="0.25">
      <c r="A337" s="289" t="s">
        <v>610</v>
      </c>
      <c r="B337" s="289"/>
      <c r="C337" s="159" t="s">
        <v>611</v>
      </c>
      <c r="D337" s="174">
        <f>IF(D334="","",D334*D336)</f>
        <v>0</v>
      </c>
      <c r="E337" s="193" t="s">
        <v>2</v>
      </c>
      <c r="F337" s="345" t="str">
        <f>IF(F316="","",IF(D337&lt;F316,"Does not meet sizing criteria",""))</f>
        <v/>
      </c>
      <c r="G337" s="345"/>
      <c r="H337" s="345"/>
    </row>
    <row r="338" spans="1:8" x14ac:dyDescent="0.25">
      <c r="A338" s="289" t="s">
        <v>354</v>
      </c>
      <c r="B338" s="289"/>
      <c r="C338" s="159" t="s">
        <v>355</v>
      </c>
      <c r="D338" s="140"/>
      <c r="E338" s="193" t="s">
        <v>271</v>
      </c>
      <c r="F338" s="345" t="str">
        <f>IF(D338="","",IF(D338&gt;1,"Does not meet design criteria",""))</f>
        <v/>
      </c>
      <c r="G338" s="345"/>
      <c r="H338" s="345"/>
    </row>
    <row r="339" spans="1:8" x14ac:dyDescent="0.25">
      <c r="A339" s="266" t="s">
        <v>356</v>
      </c>
      <c r="B339" s="268"/>
      <c r="C339" s="159" t="s">
        <v>357</v>
      </c>
      <c r="D339" s="62" t="str">
        <f>IF(D338="","",ROUNDUP(D338/D346,0))</f>
        <v/>
      </c>
      <c r="E339" s="193" t="s">
        <v>271</v>
      </c>
      <c r="F339" s="435"/>
      <c r="G339" s="436"/>
      <c r="H339" s="437"/>
    </row>
    <row r="340" spans="1:8" x14ac:dyDescent="0.25">
      <c r="A340" s="289" t="s">
        <v>358</v>
      </c>
      <c r="B340" s="289"/>
      <c r="C340" s="159" t="s">
        <v>217</v>
      </c>
      <c r="D340" s="62" t="str">
        <f>IF(D339="","",ROUNDUP(D336/D339,0))</f>
        <v/>
      </c>
      <c r="E340" s="193"/>
      <c r="F340" s="345"/>
      <c r="G340" s="345"/>
      <c r="H340" s="345"/>
    </row>
    <row r="341" spans="1:8" x14ac:dyDescent="0.25">
      <c r="A341" s="289" t="s">
        <v>612</v>
      </c>
      <c r="B341" s="289"/>
      <c r="C341" s="159" t="s">
        <v>613</v>
      </c>
      <c r="D341" s="179"/>
      <c r="E341" s="193" t="s">
        <v>271</v>
      </c>
      <c r="F341" s="345"/>
      <c r="G341" s="345"/>
      <c r="H341" s="345"/>
    </row>
    <row r="342" spans="1:8" x14ac:dyDescent="0.25">
      <c r="A342" s="289" t="s">
        <v>614</v>
      </c>
      <c r="B342" s="289"/>
      <c r="C342" s="159" t="s">
        <v>615</v>
      </c>
      <c r="D342" s="160">
        <f>D330+(2*D331)*D341</f>
        <v>0</v>
      </c>
      <c r="E342" s="193" t="s">
        <v>271</v>
      </c>
      <c r="F342" s="345"/>
      <c r="G342" s="345"/>
      <c r="H342" s="345"/>
    </row>
    <row r="343" spans="1:8" x14ac:dyDescent="0.25">
      <c r="A343" s="289" t="s">
        <v>616</v>
      </c>
      <c r="B343" s="289"/>
      <c r="C343" s="159" t="s">
        <v>617</v>
      </c>
      <c r="D343" s="173">
        <f>(D341*(D330+D342))/2</f>
        <v>0</v>
      </c>
      <c r="E343" s="193" t="s">
        <v>316</v>
      </c>
      <c r="F343" s="345"/>
      <c r="G343" s="345"/>
      <c r="H343" s="345"/>
    </row>
    <row r="344" spans="1:8" x14ac:dyDescent="0.25">
      <c r="A344" s="289" t="s">
        <v>618</v>
      </c>
      <c r="B344" s="289"/>
      <c r="C344" s="159" t="s">
        <v>619</v>
      </c>
      <c r="D344" s="173">
        <f>D330+((D341^2)+((D331*D341)^2)^0.5)*2</f>
        <v>0</v>
      </c>
      <c r="E344" s="193" t="s">
        <v>271</v>
      </c>
      <c r="F344" s="345"/>
      <c r="G344" s="345"/>
      <c r="H344" s="345"/>
    </row>
    <row r="345" spans="1:8" x14ac:dyDescent="0.25">
      <c r="A345" s="289" t="s">
        <v>620</v>
      </c>
      <c r="B345" s="289"/>
      <c r="C345" s="159" t="s">
        <v>268</v>
      </c>
      <c r="D345" s="180"/>
      <c r="E345" s="193"/>
      <c r="F345" s="345"/>
      <c r="G345" s="345"/>
      <c r="H345" s="345"/>
    </row>
    <row r="346" spans="1:8" x14ac:dyDescent="0.25">
      <c r="A346" s="289" t="s">
        <v>621</v>
      </c>
      <c r="B346" s="289"/>
      <c r="C346" s="159" t="s">
        <v>214</v>
      </c>
      <c r="D346" s="180"/>
      <c r="E346" s="193" t="s">
        <v>266</v>
      </c>
      <c r="F346" s="345" t="str">
        <f>IF(D346="","",IF(D346&lt;0.005,"Does not meet design criteria",IF(D346&gt;0.04,"Does not meet design criteria","")))</f>
        <v/>
      </c>
      <c r="G346" s="345"/>
      <c r="H346" s="345"/>
    </row>
    <row r="347" spans="1:8" x14ac:dyDescent="0.25">
      <c r="A347" s="289" t="s">
        <v>622</v>
      </c>
      <c r="B347" s="289"/>
      <c r="C347" s="159" t="s">
        <v>345</v>
      </c>
      <c r="D347" s="173" t="str">
        <f>IF(D346="","",ROUNDUP((1.49/D345)*((D343/D344)^(2/3))*(D346^(1/2)),2))</f>
        <v/>
      </c>
      <c r="E347" s="193" t="s">
        <v>346</v>
      </c>
      <c r="F347" s="345" t="str">
        <f>IF(D346="","",IF(D347&gt;5,"Does not meet design criteria",""))</f>
        <v/>
      </c>
      <c r="G347" s="345"/>
      <c r="H347" s="345"/>
    </row>
    <row r="348" spans="1:8" x14ac:dyDescent="0.25">
      <c r="A348" s="289" t="s">
        <v>623</v>
      </c>
      <c r="B348" s="289"/>
      <c r="C348" s="159"/>
      <c r="D348" s="140"/>
      <c r="E348" s="193" t="s">
        <v>271</v>
      </c>
      <c r="F348" s="345" t="str">
        <f>IF(D348="","",IF(D348&lt;0.5,"Does not meet design criteria",""))</f>
        <v/>
      </c>
      <c r="G348" s="345"/>
      <c r="H348" s="345"/>
    </row>
    <row r="349" spans="1:8" ht="13" x14ac:dyDescent="0.3">
      <c r="A349" s="424" t="s">
        <v>372</v>
      </c>
      <c r="B349" s="425"/>
      <c r="C349" s="425"/>
      <c r="D349" s="361"/>
      <c r="E349" s="361"/>
      <c r="F349" s="425"/>
      <c r="G349" s="425"/>
      <c r="H349" s="426"/>
    </row>
    <row r="350" spans="1:8" ht="13" x14ac:dyDescent="0.3">
      <c r="A350" s="427" t="s">
        <v>241</v>
      </c>
      <c r="B350" s="428"/>
      <c r="C350" s="429"/>
      <c r="D350" s="175" t="str">
        <f>IF(A316="","",IF(D320="Yes",0,IF(B316="",0,IF(D321="Yes",0,IF(D324&lt;(F316*0.1),0,IF(D325&lt;30,0,IF(D326&lt;10,0,IF(D327="No",0,IF(D330&lt;2,0,IF(D330&gt;8,0,IF(D331&lt;3,0,IF(D346&lt;0.005,0,IF(D346&gt;0.04,0,IF(D336&lt;D335,0,IF(D347&gt;5,0,IF(D348&lt;0.5,0,IF(D318="A",(F316*0.4),IF(D318="B",(F316*0.4),IF(D318="C",(F316*0.2),IF(D318="D",(F316*0.2)))))))))))))))))))))</f>
        <v/>
      </c>
      <c r="E350" s="430" t="s">
        <v>2</v>
      </c>
      <c r="F350" s="431"/>
      <c r="G350" s="431"/>
      <c r="H350" s="432"/>
    </row>
    <row r="351" spans="1:8" ht="13" x14ac:dyDescent="0.25">
      <c r="A351" s="420" t="s">
        <v>74</v>
      </c>
      <c r="B351" s="421"/>
      <c r="C351" s="421"/>
      <c r="D351" s="176" t="str">
        <f>IF(A316="","",IF(D320="Yes",0,IF(B316="",0,F316-D350)))</f>
        <v/>
      </c>
      <c r="E351" s="177" t="s">
        <v>2</v>
      </c>
      <c r="F351" s="422" t="s">
        <v>624</v>
      </c>
      <c r="G351" s="423"/>
      <c r="H351" s="423"/>
    </row>
    <row r="352" spans="1:8" ht="13" x14ac:dyDescent="0.25">
      <c r="A352" s="161" t="s">
        <v>56</v>
      </c>
      <c r="B352" s="162" t="str">
        <f>IF('STEP 2-WQv Calculation'!$B$4="","",'STEP 2-WQv Calculation'!$B$4)</f>
        <v/>
      </c>
      <c r="C352" s="163"/>
      <c r="D352" s="163"/>
      <c r="E352" s="163"/>
      <c r="F352" s="163"/>
      <c r="G352" s="163"/>
      <c r="H352" s="163"/>
    </row>
    <row r="353" spans="1:8" ht="13" x14ac:dyDescent="0.3">
      <c r="A353" s="360" t="s">
        <v>293</v>
      </c>
      <c r="B353" s="361"/>
      <c r="C353" s="361"/>
      <c r="D353" s="361"/>
      <c r="E353" s="361"/>
      <c r="F353" s="361"/>
      <c r="G353" s="361"/>
      <c r="H353" s="362"/>
    </row>
    <row r="354" spans="1:8" ht="38.5" x14ac:dyDescent="0.25">
      <c r="A354" s="164" t="s">
        <v>60</v>
      </c>
      <c r="B354" s="165" t="s">
        <v>600</v>
      </c>
      <c r="C354" s="165" t="s">
        <v>601</v>
      </c>
      <c r="D354" s="165" t="s">
        <v>602</v>
      </c>
      <c r="E354" s="165" t="s">
        <v>64</v>
      </c>
      <c r="F354" s="165" t="s">
        <v>603</v>
      </c>
      <c r="G354" s="165" t="s">
        <v>604</v>
      </c>
      <c r="H354" s="166" t="s">
        <v>13</v>
      </c>
    </row>
    <row r="355" spans="1:8" x14ac:dyDescent="0.25">
      <c r="A355" s="178"/>
      <c r="B355" s="167" t="str">
        <f>IF($A355="","",(LOOKUP($A355,'STEP 2-WQv Calculation'!$A$8:$A$37,'STEP 2-WQv Calculation'!$B$8:$B$37)))</f>
        <v/>
      </c>
      <c r="C355" s="167" t="str">
        <f>IF($A355="","",(LOOKUP($A355,'STEP 2-WQv Calculation'!$A$8:$A$37,'STEP 2-WQv Calculation'!$C$8:$C$37)))</f>
        <v/>
      </c>
      <c r="D355" s="168" t="str">
        <f>IF($A355="","",(LOOKUP($A355,'STEP 2-WQv Calculation'!$A$8:$A$37,'STEP 2-WQv Calculation'!$D$8:$D$37)))</f>
        <v/>
      </c>
      <c r="E355" s="167" t="str">
        <f>IF($A355="","",(LOOKUP($A355,'STEP 2-WQv Calculation'!$A$8:$A$37,'STEP 2-WQv Calculation'!$E$8:$E$37)))</f>
        <v/>
      </c>
      <c r="F355" s="169" t="str">
        <f>IF($A355="","",(LOOKUP($A355,'STEP 2-WQv Calculation'!$A$8:$A$37,'STEP 2-WQv Calculation'!$F$8:$F$37)))</f>
        <v/>
      </c>
      <c r="G355" s="170">
        <f>'STEP 2-WQv Calculation'!$B$5</f>
        <v>0</v>
      </c>
      <c r="H355" s="171" t="str">
        <f>IF($A355="","",(LOOKUP($A355,'STEP 2-WQv Calculation'!$A$8:$A$37,'STEP 2-WQv Calculation'!$G$8:$G$37)))</f>
        <v/>
      </c>
    </row>
    <row r="356" spans="1:8" ht="13" x14ac:dyDescent="0.3">
      <c r="A356" s="360" t="s">
        <v>226</v>
      </c>
      <c r="B356" s="361"/>
      <c r="C356" s="361"/>
      <c r="D356" s="361"/>
      <c r="E356" s="361"/>
      <c r="F356" s="361"/>
      <c r="G356" s="361"/>
      <c r="H356" s="362"/>
    </row>
    <row r="357" spans="1:8" x14ac:dyDescent="0.25">
      <c r="A357" s="354" t="s">
        <v>325</v>
      </c>
      <c r="B357" s="355"/>
      <c r="C357" s="356"/>
      <c r="D357" s="139"/>
      <c r="E357" s="357"/>
      <c r="F357" s="358"/>
      <c r="G357" s="358"/>
      <c r="H357" s="359"/>
    </row>
    <row r="358" spans="1:8" x14ac:dyDescent="0.25">
      <c r="A358" s="242" t="s">
        <v>592</v>
      </c>
      <c r="B358" s="243"/>
      <c r="C358" s="244"/>
      <c r="D358" s="139"/>
      <c r="E358" s="322" t="str">
        <f>IF(D358="Yes","Impermeable liner required","")</f>
        <v/>
      </c>
      <c r="F358" s="323"/>
      <c r="G358" s="323"/>
      <c r="H358" s="324"/>
    </row>
    <row r="359" spans="1:8" x14ac:dyDescent="0.25">
      <c r="A359" s="242" t="s">
        <v>589</v>
      </c>
      <c r="B359" s="243"/>
      <c r="C359" s="244"/>
      <c r="D359" s="211"/>
      <c r="E359" s="322" t="str">
        <f>IF(D359="","Refer to Section 4.14 Stormwater Hotspots",IF(D359="Yes","Credit for RRv and WQv treated cannot be applied to first practice in series",""))</f>
        <v>Refer to Section 4.14 Stormwater Hotspots</v>
      </c>
      <c r="F359" s="323"/>
      <c r="G359" s="323"/>
      <c r="H359" s="324"/>
    </row>
    <row r="360" spans="1:8" x14ac:dyDescent="0.25">
      <c r="A360" s="242" t="s">
        <v>326</v>
      </c>
      <c r="B360" s="243"/>
      <c r="C360" s="244"/>
      <c r="D360" s="135" t="str">
        <f>IF(B355="","",IF(B355&gt;5,"Yes","No"))</f>
        <v/>
      </c>
      <c r="E360" s="322" t="str">
        <f>IF(D360="Yes","Does not meet design criteria","")</f>
        <v/>
      </c>
      <c r="F360" s="323"/>
      <c r="G360" s="323"/>
      <c r="H360" s="324"/>
    </row>
    <row r="361" spans="1:8" x14ac:dyDescent="0.25">
      <c r="A361" s="242" t="s">
        <v>296</v>
      </c>
      <c r="B361" s="243"/>
      <c r="C361" s="244"/>
      <c r="D361" s="139"/>
      <c r="E361" s="322" t="str">
        <f>IF(D361="","",IF(D361&lt;2,"Impermeable liner required",""))</f>
        <v/>
      </c>
      <c r="F361" s="323"/>
      <c r="G361" s="323"/>
      <c r="H361" s="324"/>
    </row>
    <row r="362" spans="1:8" x14ac:dyDescent="0.25">
      <c r="A362" s="242" t="s">
        <v>297</v>
      </c>
      <c r="B362" s="243"/>
      <c r="C362" s="244"/>
      <c r="D362" s="139"/>
      <c r="E362" s="322" t="str">
        <f>IF(D362="","",IF(D362&lt;2,"Impermeable liner required",""))</f>
        <v/>
      </c>
      <c r="F362" s="323"/>
      <c r="G362" s="323"/>
      <c r="H362" s="324"/>
    </row>
    <row r="363" spans="1:8" x14ac:dyDescent="0.25">
      <c r="A363" s="242" t="s">
        <v>507</v>
      </c>
      <c r="B363" s="243"/>
      <c r="C363" s="244"/>
      <c r="D363" s="139"/>
      <c r="E363" s="322" t="str">
        <f>IF(D363="","",IF(D363&lt;(F355*0.1),"Does not meet design crtieria",""))</f>
        <v/>
      </c>
      <c r="F363" s="323"/>
      <c r="G363" s="323"/>
      <c r="H363" s="324"/>
    </row>
    <row r="364" spans="1:8" x14ac:dyDescent="0.25">
      <c r="A364" s="242" t="s">
        <v>605</v>
      </c>
      <c r="B364" s="243"/>
      <c r="C364" s="244"/>
      <c r="D364" s="139"/>
      <c r="E364" s="322" t="str">
        <f>IF(D364="","",IF(D364=30,"","Does not meet design criteria"))</f>
        <v/>
      </c>
      <c r="F364" s="323"/>
      <c r="G364" s="323"/>
      <c r="H364" s="324"/>
    </row>
    <row r="365" spans="1:8" x14ac:dyDescent="0.25">
      <c r="A365" s="242" t="s">
        <v>402</v>
      </c>
      <c r="B365" s="243"/>
      <c r="C365" s="244"/>
      <c r="D365" s="139"/>
      <c r="E365" s="322" t="str">
        <f>IF(D365="","",IF(D365&gt;=10,"","Does not meet design criteria"))</f>
        <v/>
      </c>
      <c r="F365" s="323"/>
      <c r="G365" s="323"/>
      <c r="H365" s="324"/>
    </row>
    <row r="366" spans="1:8" x14ac:dyDescent="0.25">
      <c r="A366" s="242" t="s">
        <v>552</v>
      </c>
      <c r="B366" s="243"/>
      <c r="C366" s="244"/>
      <c r="D366" s="139"/>
      <c r="E366" s="322" t="str">
        <f>IF(D366="No","Does not meet design criteria","")</f>
        <v/>
      </c>
      <c r="F366" s="323"/>
      <c r="G366" s="323"/>
      <c r="H366" s="324"/>
    </row>
    <row r="367" spans="1:8" ht="13" x14ac:dyDescent="0.3">
      <c r="A367" s="433" t="s">
        <v>232</v>
      </c>
      <c r="B367" s="434"/>
      <c r="C367" s="434"/>
      <c r="D367" s="361"/>
      <c r="E367" s="361"/>
      <c r="F367" s="361"/>
      <c r="G367" s="361"/>
      <c r="H367" s="362"/>
    </row>
    <row r="368" spans="1:8" ht="13" x14ac:dyDescent="0.3">
      <c r="A368" s="346"/>
      <c r="B368" s="347"/>
      <c r="C368" s="348"/>
      <c r="D368" s="47" t="s">
        <v>256</v>
      </c>
      <c r="E368" s="48" t="s">
        <v>257</v>
      </c>
      <c r="F368" s="349" t="s">
        <v>258</v>
      </c>
      <c r="G368" s="350"/>
      <c r="H368" s="351"/>
    </row>
    <row r="369" spans="1:8" x14ac:dyDescent="0.25">
      <c r="A369" s="289" t="s">
        <v>331</v>
      </c>
      <c r="B369" s="289"/>
      <c r="C369" s="159" t="s">
        <v>332</v>
      </c>
      <c r="D369" s="140"/>
      <c r="E369" s="193" t="s">
        <v>271</v>
      </c>
      <c r="F369" s="345" t="str">
        <f>IF(D369="","",IF(D369&lt;2,"Does not meet design criteria",IF(D369&gt;8,"Does not meet design criteria","")))</f>
        <v/>
      </c>
      <c r="G369" s="345"/>
      <c r="H369" s="345"/>
    </row>
    <row r="370" spans="1:8" x14ac:dyDescent="0.25">
      <c r="A370" s="289" t="s">
        <v>606</v>
      </c>
      <c r="B370" s="289"/>
      <c r="C370" s="159" t="s">
        <v>336</v>
      </c>
      <c r="D370" s="179"/>
      <c r="E370" s="193" t="s">
        <v>337</v>
      </c>
      <c r="F370" s="345" t="str">
        <f>IF(D370="","",IF(D370&lt;3,"Does not meet design criteria",""))</f>
        <v/>
      </c>
      <c r="G370" s="345"/>
      <c r="H370" s="345"/>
    </row>
    <row r="371" spans="1:8" x14ac:dyDescent="0.25">
      <c r="A371" s="289" t="s">
        <v>333</v>
      </c>
      <c r="B371" s="289"/>
      <c r="C371" s="159" t="s">
        <v>334</v>
      </c>
      <c r="D371" s="179"/>
      <c r="E371" s="193" t="s">
        <v>271</v>
      </c>
      <c r="F371" s="345"/>
      <c r="G371" s="345"/>
      <c r="H371" s="345"/>
    </row>
    <row r="372" spans="1:8" x14ac:dyDescent="0.25">
      <c r="A372" s="289" t="s">
        <v>338</v>
      </c>
      <c r="B372" s="289"/>
      <c r="C372" s="159" t="s">
        <v>339</v>
      </c>
      <c r="D372" s="160">
        <f>D369+(2*D370)*D371</f>
        <v>0</v>
      </c>
      <c r="E372" s="193" t="s">
        <v>271</v>
      </c>
      <c r="F372" s="345"/>
      <c r="G372" s="345"/>
      <c r="H372" s="345"/>
    </row>
    <row r="373" spans="1:8" x14ac:dyDescent="0.25">
      <c r="A373" s="289" t="s">
        <v>607</v>
      </c>
      <c r="B373" s="289"/>
      <c r="C373" s="159" t="s">
        <v>343</v>
      </c>
      <c r="D373" s="173">
        <f>(D372+D369)*D371/2</f>
        <v>0</v>
      </c>
      <c r="E373" s="193" t="s">
        <v>316</v>
      </c>
      <c r="F373" s="345"/>
      <c r="G373" s="345"/>
      <c r="H373" s="345"/>
    </row>
    <row r="374" spans="1:8" x14ac:dyDescent="0.25">
      <c r="A374" s="289" t="s">
        <v>608</v>
      </c>
      <c r="B374" s="289"/>
      <c r="C374" s="159" t="s">
        <v>349</v>
      </c>
      <c r="D374" s="173" t="str">
        <f>IF(F355="","",ROUNDUP(F355/D373,0))</f>
        <v/>
      </c>
      <c r="E374" s="193" t="s">
        <v>271</v>
      </c>
      <c r="F374" s="345"/>
      <c r="G374" s="345"/>
      <c r="H374" s="345"/>
    </row>
    <row r="375" spans="1:8" x14ac:dyDescent="0.25">
      <c r="A375" s="289" t="s">
        <v>609</v>
      </c>
      <c r="B375" s="289"/>
      <c r="C375" s="159" t="s">
        <v>351</v>
      </c>
      <c r="D375" s="140"/>
      <c r="E375" s="193" t="s">
        <v>271</v>
      </c>
      <c r="F375" s="345" t="str">
        <f>IF(D375="","",IF(D375&lt;D374,"Does not meet design criteria",""))</f>
        <v/>
      </c>
      <c r="G375" s="345"/>
      <c r="H375" s="345"/>
    </row>
    <row r="376" spans="1:8" x14ac:dyDescent="0.25">
      <c r="A376" s="289" t="s">
        <v>610</v>
      </c>
      <c r="B376" s="289"/>
      <c r="C376" s="159" t="s">
        <v>611</v>
      </c>
      <c r="D376" s="174">
        <f>IF(D373="","",D373*D375)</f>
        <v>0</v>
      </c>
      <c r="E376" s="193" t="s">
        <v>2</v>
      </c>
      <c r="F376" s="345" t="str">
        <f>IF(F355="","",IF(D376&lt;F355,"Does not meet sizing criteria",""))</f>
        <v/>
      </c>
      <c r="G376" s="345"/>
      <c r="H376" s="345"/>
    </row>
    <row r="377" spans="1:8" x14ac:dyDescent="0.25">
      <c r="A377" s="289" t="s">
        <v>354</v>
      </c>
      <c r="B377" s="289"/>
      <c r="C377" s="159" t="s">
        <v>355</v>
      </c>
      <c r="D377" s="140"/>
      <c r="E377" s="193" t="s">
        <v>271</v>
      </c>
      <c r="F377" s="345" t="str">
        <f>IF(D377="","",IF(D377&gt;1,"Does not meet design criteria",""))</f>
        <v/>
      </c>
      <c r="G377" s="345"/>
      <c r="H377" s="345"/>
    </row>
    <row r="378" spans="1:8" x14ac:dyDescent="0.25">
      <c r="A378" s="266" t="s">
        <v>356</v>
      </c>
      <c r="B378" s="268"/>
      <c r="C378" s="159" t="s">
        <v>357</v>
      </c>
      <c r="D378" s="62" t="str">
        <f>IF(D377="","",ROUNDUP(D377/D385,0))</f>
        <v/>
      </c>
      <c r="E378" s="193" t="s">
        <v>271</v>
      </c>
      <c r="F378" s="435"/>
      <c r="G378" s="436"/>
      <c r="H378" s="437"/>
    </row>
    <row r="379" spans="1:8" x14ac:dyDescent="0.25">
      <c r="A379" s="289" t="s">
        <v>358</v>
      </c>
      <c r="B379" s="289"/>
      <c r="C379" s="159" t="s">
        <v>217</v>
      </c>
      <c r="D379" s="62" t="str">
        <f>IF(D378="","",ROUNDUP(D375/D378,0))</f>
        <v/>
      </c>
      <c r="E379" s="193"/>
      <c r="F379" s="345"/>
      <c r="G379" s="345"/>
      <c r="H379" s="345"/>
    </row>
    <row r="380" spans="1:8" x14ac:dyDescent="0.25">
      <c r="A380" s="289" t="s">
        <v>612</v>
      </c>
      <c r="B380" s="289"/>
      <c r="C380" s="159" t="s">
        <v>613</v>
      </c>
      <c r="D380" s="179"/>
      <c r="E380" s="193" t="s">
        <v>271</v>
      </c>
      <c r="F380" s="345"/>
      <c r="G380" s="345"/>
      <c r="H380" s="345"/>
    </row>
    <row r="381" spans="1:8" x14ac:dyDescent="0.25">
      <c r="A381" s="289" t="s">
        <v>614</v>
      </c>
      <c r="B381" s="289"/>
      <c r="C381" s="159" t="s">
        <v>615</v>
      </c>
      <c r="D381" s="160">
        <f>D369+(2*D370)*D380</f>
        <v>0</v>
      </c>
      <c r="E381" s="193" t="s">
        <v>271</v>
      </c>
      <c r="F381" s="345"/>
      <c r="G381" s="345"/>
      <c r="H381" s="345"/>
    </row>
    <row r="382" spans="1:8" x14ac:dyDescent="0.25">
      <c r="A382" s="289" t="s">
        <v>616</v>
      </c>
      <c r="B382" s="289"/>
      <c r="C382" s="159" t="s">
        <v>617</v>
      </c>
      <c r="D382" s="173">
        <f>(D380*(D369+D381))/2</f>
        <v>0</v>
      </c>
      <c r="E382" s="193" t="s">
        <v>316</v>
      </c>
      <c r="F382" s="345"/>
      <c r="G382" s="345"/>
      <c r="H382" s="345"/>
    </row>
    <row r="383" spans="1:8" x14ac:dyDescent="0.25">
      <c r="A383" s="289" t="s">
        <v>618</v>
      </c>
      <c r="B383" s="289"/>
      <c r="C383" s="159" t="s">
        <v>619</v>
      </c>
      <c r="D383" s="173">
        <f>D369+((D380^2)+((D370*D380)^2)^0.5)*2</f>
        <v>0</v>
      </c>
      <c r="E383" s="193" t="s">
        <v>271</v>
      </c>
      <c r="F383" s="345"/>
      <c r="G383" s="345"/>
      <c r="H383" s="345"/>
    </row>
    <row r="384" spans="1:8" x14ac:dyDescent="0.25">
      <c r="A384" s="289" t="s">
        <v>620</v>
      </c>
      <c r="B384" s="289"/>
      <c r="C384" s="159" t="s">
        <v>268</v>
      </c>
      <c r="D384" s="180"/>
      <c r="E384" s="193"/>
      <c r="F384" s="345"/>
      <c r="G384" s="345"/>
      <c r="H384" s="345"/>
    </row>
    <row r="385" spans="1:8" x14ac:dyDescent="0.25">
      <c r="A385" s="289" t="s">
        <v>621</v>
      </c>
      <c r="B385" s="289"/>
      <c r="C385" s="159" t="s">
        <v>214</v>
      </c>
      <c r="D385" s="180"/>
      <c r="E385" s="193" t="s">
        <v>266</v>
      </c>
      <c r="F385" s="345" t="str">
        <f>IF(D385="","",IF(D385&lt;0.005,"Does not meet design criteria",IF(D385&gt;0.04,"Does not meet design criteria","")))</f>
        <v/>
      </c>
      <c r="G385" s="345"/>
      <c r="H385" s="345"/>
    </row>
    <row r="386" spans="1:8" x14ac:dyDescent="0.25">
      <c r="A386" s="289" t="s">
        <v>622</v>
      </c>
      <c r="B386" s="289"/>
      <c r="C386" s="159" t="s">
        <v>345</v>
      </c>
      <c r="D386" s="173" t="str">
        <f>IF(D385="","",ROUNDUP((1.49/D384)*((D382/D383)^(2/3))*(D385^(1/2)),2))</f>
        <v/>
      </c>
      <c r="E386" s="193" t="s">
        <v>346</v>
      </c>
      <c r="F386" s="345" t="str">
        <f>IF(D385="","",IF(D386&gt;5,"Does not meet design criteria",""))</f>
        <v/>
      </c>
      <c r="G386" s="345"/>
      <c r="H386" s="345"/>
    </row>
    <row r="387" spans="1:8" x14ac:dyDescent="0.25">
      <c r="A387" s="289" t="s">
        <v>623</v>
      </c>
      <c r="B387" s="289"/>
      <c r="C387" s="159"/>
      <c r="D387" s="140"/>
      <c r="E387" s="193" t="s">
        <v>271</v>
      </c>
      <c r="F387" s="345" t="str">
        <f>IF(D387="","",IF(D387&lt;0.5,"Does not meet design criteria",""))</f>
        <v/>
      </c>
      <c r="G387" s="345"/>
      <c r="H387" s="345"/>
    </row>
    <row r="388" spans="1:8" ht="13" x14ac:dyDescent="0.3">
      <c r="A388" s="424" t="s">
        <v>372</v>
      </c>
      <c r="B388" s="425"/>
      <c r="C388" s="425"/>
      <c r="D388" s="361"/>
      <c r="E388" s="361"/>
      <c r="F388" s="425"/>
      <c r="G388" s="425"/>
      <c r="H388" s="426"/>
    </row>
    <row r="389" spans="1:8" ht="13" x14ac:dyDescent="0.3">
      <c r="A389" s="427" t="s">
        <v>241</v>
      </c>
      <c r="B389" s="428"/>
      <c r="C389" s="429"/>
      <c r="D389" s="175" t="str">
        <f>IF(A355="","",IF(D359="Yes",0,IF(B355="",0,IF(D360="Yes",0,IF(D363&lt;(F355*0.1),0,IF(D364&lt;30,0,IF(D365&lt;10,0,IF(D366="No",0,IF(D369&lt;2,0,IF(D369&gt;8,0,IF(D370&lt;3,0,IF(D385&lt;0.005,0,IF(D385&gt;0.04,0,IF(D375&lt;D374,0,IF(D386&gt;5,0,IF(D387&lt;0.5,0,IF(D357="A",(F355*0.4),IF(D357="B",(F355*0.4),IF(D357="C",(F355*0.2),IF(D357="D",(F355*0.2)))))))))))))))))))))</f>
        <v/>
      </c>
      <c r="E389" s="430" t="s">
        <v>2</v>
      </c>
      <c r="F389" s="431"/>
      <c r="G389" s="431"/>
      <c r="H389" s="432"/>
    </row>
    <row r="390" spans="1:8" ht="13" x14ac:dyDescent="0.25">
      <c r="A390" s="420" t="s">
        <v>74</v>
      </c>
      <c r="B390" s="421"/>
      <c r="C390" s="421"/>
      <c r="D390" s="176" t="str">
        <f>IF(A355="","",IF(D359="Yes",0,IF(B355="",0,F355-D389)))</f>
        <v/>
      </c>
      <c r="E390" s="177" t="s">
        <v>2</v>
      </c>
      <c r="F390" s="422" t="s">
        <v>624</v>
      </c>
      <c r="G390" s="423"/>
      <c r="H390" s="423"/>
    </row>
  </sheetData>
  <sheetProtection algorithmName="SHA-512" hashValue="scwpMkq2ckqmWfCQxZGCWZel7p25sy87Tp7YIMIcZtLBC1tXLL8npVxQd4CyCVfzhCJbSb8heND7xhKbvTN4vw==" saltValue="arPefa3Q3foPPDJaRBnlhw==" spinCount="100000" sheet="1" formatColumns="0" formatRows="0"/>
  <mergeCells count="684">
    <mergeCell ref="A386:B386"/>
    <mergeCell ref="F386:H386"/>
    <mergeCell ref="A387:B387"/>
    <mergeCell ref="F387:H387"/>
    <mergeCell ref="A388:H388"/>
    <mergeCell ref="A389:C389"/>
    <mergeCell ref="E389:H389"/>
    <mergeCell ref="A390:C390"/>
    <mergeCell ref="F390:H390"/>
    <mergeCell ref="A381:B381"/>
    <mergeCell ref="F381:H381"/>
    <mergeCell ref="A382:B382"/>
    <mergeCell ref="F382:H382"/>
    <mergeCell ref="A383:B383"/>
    <mergeCell ref="F383:H383"/>
    <mergeCell ref="A384:B384"/>
    <mergeCell ref="F384:H384"/>
    <mergeCell ref="A385:B385"/>
    <mergeCell ref="F385:H385"/>
    <mergeCell ref="A376:B376"/>
    <mergeCell ref="F376:H376"/>
    <mergeCell ref="A377:B377"/>
    <mergeCell ref="F377:H377"/>
    <mergeCell ref="A378:B378"/>
    <mergeCell ref="F378:H378"/>
    <mergeCell ref="A379:B379"/>
    <mergeCell ref="F379:H379"/>
    <mergeCell ref="A380:B380"/>
    <mergeCell ref="F380:H380"/>
    <mergeCell ref="A371:B371"/>
    <mergeCell ref="F371:H371"/>
    <mergeCell ref="A372:B372"/>
    <mergeCell ref="F372:H372"/>
    <mergeCell ref="A373:B373"/>
    <mergeCell ref="F373:H373"/>
    <mergeCell ref="A374:B374"/>
    <mergeCell ref="F374:H374"/>
    <mergeCell ref="A375:B375"/>
    <mergeCell ref="F375:H375"/>
    <mergeCell ref="A366:C366"/>
    <mergeCell ref="E366:H366"/>
    <mergeCell ref="A367:H367"/>
    <mergeCell ref="A368:C368"/>
    <mergeCell ref="F368:H368"/>
    <mergeCell ref="A369:B369"/>
    <mergeCell ref="F369:H369"/>
    <mergeCell ref="A370:B370"/>
    <mergeCell ref="F370:H370"/>
    <mergeCell ref="A361:C361"/>
    <mergeCell ref="E361:H361"/>
    <mergeCell ref="A362:C362"/>
    <mergeCell ref="E362:H362"/>
    <mergeCell ref="A363:C363"/>
    <mergeCell ref="E363:H363"/>
    <mergeCell ref="A364:C364"/>
    <mergeCell ref="E364:H364"/>
    <mergeCell ref="A365:C365"/>
    <mergeCell ref="E365:H365"/>
    <mergeCell ref="A353:H353"/>
    <mergeCell ref="A356:H356"/>
    <mergeCell ref="A357:C357"/>
    <mergeCell ref="E357:H357"/>
    <mergeCell ref="A358:C358"/>
    <mergeCell ref="E358:H358"/>
    <mergeCell ref="A359:C359"/>
    <mergeCell ref="E359:H359"/>
    <mergeCell ref="A360:C360"/>
    <mergeCell ref="E360:H360"/>
    <mergeCell ref="A347:B347"/>
    <mergeCell ref="F347:H347"/>
    <mergeCell ref="A348:B348"/>
    <mergeCell ref="F348:H348"/>
    <mergeCell ref="A349:H349"/>
    <mergeCell ref="A350:C350"/>
    <mergeCell ref="E350:H350"/>
    <mergeCell ref="A351:C351"/>
    <mergeCell ref="F351:H351"/>
    <mergeCell ref="A342:B342"/>
    <mergeCell ref="F342:H342"/>
    <mergeCell ref="A343:B343"/>
    <mergeCell ref="F343:H343"/>
    <mergeCell ref="A344:B344"/>
    <mergeCell ref="F344:H344"/>
    <mergeCell ref="A345:B345"/>
    <mergeCell ref="F345:H345"/>
    <mergeCell ref="A346:B346"/>
    <mergeCell ref="F346:H346"/>
    <mergeCell ref="A337:B337"/>
    <mergeCell ref="F337:H337"/>
    <mergeCell ref="A338:B338"/>
    <mergeCell ref="F338:H338"/>
    <mergeCell ref="A339:B339"/>
    <mergeCell ref="F339:H339"/>
    <mergeCell ref="A340:B340"/>
    <mergeCell ref="F340:H340"/>
    <mergeCell ref="A341:B341"/>
    <mergeCell ref="F341:H341"/>
    <mergeCell ref="A332:B332"/>
    <mergeCell ref="F332:H332"/>
    <mergeCell ref="A333:B333"/>
    <mergeCell ref="F333:H333"/>
    <mergeCell ref="A334:B334"/>
    <mergeCell ref="F334:H334"/>
    <mergeCell ref="A335:B335"/>
    <mergeCell ref="F335:H335"/>
    <mergeCell ref="A336:B336"/>
    <mergeCell ref="F336:H336"/>
    <mergeCell ref="A327:C327"/>
    <mergeCell ref="E327:H327"/>
    <mergeCell ref="A328:H328"/>
    <mergeCell ref="A329:C329"/>
    <mergeCell ref="F329:H329"/>
    <mergeCell ref="A330:B330"/>
    <mergeCell ref="F330:H330"/>
    <mergeCell ref="A331:B331"/>
    <mergeCell ref="F331:H331"/>
    <mergeCell ref="A322:C322"/>
    <mergeCell ref="E322:H322"/>
    <mergeCell ref="A323:C323"/>
    <mergeCell ref="E323:H323"/>
    <mergeCell ref="A324:C324"/>
    <mergeCell ref="E324:H324"/>
    <mergeCell ref="A325:C325"/>
    <mergeCell ref="E325:H325"/>
    <mergeCell ref="A326:C326"/>
    <mergeCell ref="E326:H326"/>
    <mergeCell ref="A314:H314"/>
    <mergeCell ref="A317:H317"/>
    <mergeCell ref="A318:C318"/>
    <mergeCell ref="E318:H318"/>
    <mergeCell ref="A319:C319"/>
    <mergeCell ref="E319:H319"/>
    <mergeCell ref="A320:C320"/>
    <mergeCell ref="E320:H320"/>
    <mergeCell ref="A321:C321"/>
    <mergeCell ref="E321:H321"/>
    <mergeCell ref="A308:B308"/>
    <mergeCell ref="F308:H308"/>
    <mergeCell ref="A309:B309"/>
    <mergeCell ref="F309:H309"/>
    <mergeCell ref="A310:H310"/>
    <mergeCell ref="A311:C311"/>
    <mergeCell ref="E311:H311"/>
    <mergeCell ref="A312:C312"/>
    <mergeCell ref="F312:H312"/>
    <mergeCell ref="A303:B303"/>
    <mergeCell ref="F303:H303"/>
    <mergeCell ref="A304:B304"/>
    <mergeCell ref="F304:H304"/>
    <mergeCell ref="A305:B305"/>
    <mergeCell ref="F305:H305"/>
    <mergeCell ref="A306:B306"/>
    <mergeCell ref="F306:H306"/>
    <mergeCell ref="A307:B307"/>
    <mergeCell ref="F307:H307"/>
    <mergeCell ref="A298:B298"/>
    <mergeCell ref="F298:H298"/>
    <mergeCell ref="A299:B299"/>
    <mergeCell ref="F299:H299"/>
    <mergeCell ref="A300:B300"/>
    <mergeCell ref="F300:H300"/>
    <mergeCell ref="A301:B301"/>
    <mergeCell ref="F301:H301"/>
    <mergeCell ref="A302:B302"/>
    <mergeCell ref="F302:H302"/>
    <mergeCell ref="A293:B293"/>
    <mergeCell ref="F293:H293"/>
    <mergeCell ref="A294:B294"/>
    <mergeCell ref="F294:H294"/>
    <mergeCell ref="A295:B295"/>
    <mergeCell ref="F295:H295"/>
    <mergeCell ref="A296:B296"/>
    <mergeCell ref="F296:H296"/>
    <mergeCell ref="A297:B297"/>
    <mergeCell ref="F297:H297"/>
    <mergeCell ref="A288:C288"/>
    <mergeCell ref="E288:H288"/>
    <mergeCell ref="A289:H289"/>
    <mergeCell ref="A290:C290"/>
    <mergeCell ref="F290:H290"/>
    <mergeCell ref="A291:B291"/>
    <mergeCell ref="F291:H291"/>
    <mergeCell ref="A292:B292"/>
    <mergeCell ref="F292:H292"/>
    <mergeCell ref="A283:C283"/>
    <mergeCell ref="E283:H283"/>
    <mergeCell ref="A284:C284"/>
    <mergeCell ref="E284:H284"/>
    <mergeCell ref="A285:C285"/>
    <mergeCell ref="E285:H285"/>
    <mergeCell ref="A286:C286"/>
    <mergeCell ref="E286:H286"/>
    <mergeCell ref="A287:C287"/>
    <mergeCell ref="E287:H287"/>
    <mergeCell ref="A275:H275"/>
    <mergeCell ref="A278:H278"/>
    <mergeCell ref="A279:C279"/>
    <mergeCell ref="E279:H279"/>
    <mergeCell ref="A280:C280"/>
    <mergeCell ref="E280:H280"/>
    <mergeCell ref="A281:C281"/>
    <mergeCell ref="E281:H281"/>
    <mergeCell ref="A282:C282"/>
    <mergeCell ref="E282:H282"/>
    <mergeCell ref="A269:B269"/>
    <mergeCell ref="F269:H269"/>
    <mergeCell ref="A270:B270"/>
    <mergeCell ref="F270:H270"/>
    <mergeCell ref="A271:H271"/>
    <mergeCell ref="A272:C272"/>
    <mergeCell ref="E272:H272"/>
    <mergeCell ref="A273:C273"/>
    <mergeCell ref="F273:H273"/>
    <mergeCell ref="A264:B264"/>
    <mergeCell ref="F264:H264"/>
    <mergeCell ref="A265:B265"/>
    <mergeCell ref="F265:H265"/>
    <mergeCell ref="A266:B266"/>
    <mergeCell ref="F266:H266"/>
    <mergeCell ref="A267:B267"/>
    <mergeCell ref="F267:H267"/>
    <mergeCell ref="A268:B268"/>
    <mergeCell ref="F268:H268"/>
    <mergeCell ref="A259:B259"/>
    <mergeCell ref="F259:H259"/>
    <mergeCell ref="A260:B260"/>
    <mergeCell ref="F260:H260"/>
    <mergeCell ref="A261:B261"/>
    <mergeCell ref="F261:H261"/>
    <mergeCell ref="A262:B262"/>
    <mergeCell ref="F262:H262"/>
    <mergeCell ref="A263:B263"/>
    <mergeCell ref="F263:H263"/>
    <mergeCell ref="A254:B254"/>
    <mergeCell ref="F254:H254"/>
    <mergeCell ref="A255:B255"/>
    <mergeCell ref="F255:H255"/>
    <mergeCell ref="A256:B256"/>
    <mergeCell ref="F256:H256"/>
    <mergeCell ref="A257:B257"/>
    <mergeCell ref="F257:H257"/>
    <mergeCell ref="A258:B258"/>
    <mergeCell ref="F258:H258"/>
    <mergeCell ref="A249:C249"/>
    <mergeCell ref="E249:H249"/>
    <mergeCell ref="A250:H250"/>
    <mergeCell ref="A251:C251"/>
    <mergeCell ref="F251:H251"/>
    <mergeCell ref="A252:B252"/>
    <mergeCell ref="F252:H252"/>
    <mergeCell ref="A253:B253"/>
    <mergeCell ref="F253:H253"/>
    <mergeCell ref="A244:C244"/>
    <mergeCell ref="E244:H244"/>
    <mergeCell ref="A245:C245"/>
    <mergeCell ref="E245:H245"/>
    <mergeCell ref="A246:C246"/>
    <mergeCell ref="E246:H246"/>
    <mergeCell ref="A247:C247"/>
    <mergeCell ref="E247:H247"/>
    <mergeCell ref="A248:C248"/>
    <mergeCell ref="E248:H248"/>
    <mergeCell ref="A236:H236"/>
    <mergeCell ref="A239:H239"/>
    <mergeCell ref="A240:C240"/>
    <mergeCell ref="E240:H240"/>
    <mergeCell ref="A241:C241"/>
    <mergeCell ref="E241:H241"/>
    <mergeCell ref="A242:C242"/>
    <mergeCell ref="E242:H242"/>
    <mergeCell ref="A243:C243"/>
    <mergeCell ref="E243:H243"/>
    <mergeCell ref="A230:B230"/>
    <mergeCell ref="F230:H230"/>
    <mergeCell ref="A231:B231"/>
    <mergeCell ref="F231:H231"/>
    <mergeCell ref="A232:H232"/>
    <mergeCell ref="A233:C233"/>
    <mergeCell ref="E233:H233"/>
    <mergeCell ref="A234:C234"/>
    <mergeCell ref="F234:H234"/>
    <mergeCell ref="A225:B225"/>
    <mergeCell ref="F225:H225"/>
    <mergeCell ref="A226:B226"/>
    <mergeCell ref="F226:H226"/>
    <mergeCell ref="A227:B227"/>
    <mergeCell ref="F227:H227"/>
    <mergeCell ref="A228:B228"/>
    <mergeCell ref="F228:H228"/>
    <mergeCell ref="A229:B229"/>
    <mergeCell ref="F229:H229"/>
    <mergeCell ref="A220:B220"/>
    <mergeCell ref="F220:H220"/>
    <mergeCell ref="A221:B221"/>
    <mergeCell ref="F221:H221"/>
    <mergeCell ref="A222:B222"/>
    <mergeCell ref="F222:H222"/>
    <mergeCell ref="A223:B223"/>
    <mergeCell ref="F223:H223"/>
    <mergeCell ref="A224:B224"/>
    <mergeCell ref="F224:H224"/>
    <mergeCell ref="A215:B215"/>
    <mergeCell ref="F215:H215"/>
    <mergeCell ref="A216:B216"/>
    <mergeCell ref="F216:H216"/>
    <mergeCell ref="A217:B217"/>
    <mergeCell ref="F217:H217"/>
    <mergeCell ref="A218:B218"/>
    <mergeCell ref="F218:H218"/>
    <mergeCell ref="A219:B219"/>
    <mergeCell ref="F219:H219"/>
    <mergeCell ref="A210:C210"/>
    <mergeCell ref="E210:H210"/>
    <mergeCell ref="A211:H211"/>
    <mergeCell ref="A212:C212"/>
    <mergeCell ref="F212:H212"/>
    <mergeCell ref="A213:B213"/>
    <mergeCell ref="F213:H213"/>
    <mergeCell ref="A214:B214"/>
    <mergeCell ref="F214:H214"/>
    <mergeCell ref="A205:C205"/>
    <mergeCell ref="E205:H205"/>
    <mergeCell ref="A206:C206"/>
    <mergeCell ref="E206:H206"/>
    <mergeCell ref="A207:C207"/>
    <mergeCell ref="E207:H207"/>
    <mergeCell ref="A208:C208"/>
    <mergeCell ref="E208:H208"/>
    <mergeCell ref="A209:C209"/>
    <mergeCell ref="E209:H209"/>
    <mergeCell ref="A197:H197"/>
    <mergeCell ref="A200:H200"/>
    <mergeCell ref="A201:C201"/>
    <mergeCell ref="E201:H201"/>
    <mergeCell ref="A202:C202"/>
    <mergeCell ref="E202:H202"/>
    <mergeCell ref="A203:C203"/>
    <mergeCell ref="E203:H203"/>
    <mergeCell ref="A204:C204"/>
    <mergeCell ref="E204:H204"/>
    <mergeCell ref="I2:J2"/>
    <mergeCell ref="I3:J3"/>
    <mergeCell ref="I4:J4"/>
    <mergeCell ref="I5:J5"/>
    <mergeCell ref="A183:B183"/>
    <mergeCell ref="F183:H183"/>
    <mergeCell ref="A8:C8"/>
    <mergeCell ref="E8:H8"/>
    <mergeCell ref="A47:C47"/>
    <mergeCell ref="E47:H47"/>
    <mergeCell ref="A84:C84"/>
    <mergeCell ref="A168:C168"/>
    <mergeCell ref="E168:H168"/>
    <mergeCell ref="A169:C169"/>
    <mergeCell ref="E169:H169"/>
    <mergeCell ref="A170:C170"/>
    <mergeCell ref="E170:H170"/>
    <mergeCell ref="A174:B174"/>
    <mergeCell ref="F174:H174"/>
    <mergeCell ref="A175:B175"/>
    <mergeCell ref="A182:B182"/>
    <mergeCell ref="F182:H182"/>
    <mergeCell ref="A177:B177"/>
    <mergeCell ref="F177:H177"/>
    <mergeCell ref="A178:B178"/>
    <mergeCell ref="F178:H178"/>
    <mergeCell ref="A179:B179"/>
    <mergeCell ref="F179:H179"/>
    <mergeCell ref="A146:B146"/>
    <mergeCell ref="F146:H146"/>
    <mergeCell ref="A147:B147"/>
    <mergeCell ref="F147:H147"/>
    <mergeCell ref="A148:B148"/>
    <mergeCell ref="F148:H148"/>
    <mergeCell ref="A162:C162"/>
    <mergeCell ref="E162:H162"/>
    <mergeCell ref="A163:C163"/>
    <mergeCell ref="E163:H163"/>
    <mergeCell ref="A164:C164"/>
    <mergeCell ref="E164:H164"/>
    <mergeCell ref="A165:C165"/>
    <mergeCell ref="E165:H165"/>
    <mergeCell ref="A156:C156"/>
    <mergeCell ref="F150:H150"/>
    <mergeCell ref="A149:B149"/>
    <mergeCell ref="F149:H149"/>
    <mergeCell ref="A150:B150"/>
    <mergeCell ref="A151:B151"/>
    <mergeCell ref="A143:B143"/>
    <mergeCell ref="F143:H143"/>
    <mergeCell ref="A144:B144"/>
    <mergeCell ref="F144:H144"/>
    <mergeCell ref="A145:B145"/>
    <mergeCell ref="F145:H145"/>
    <mergeCell ref="A140:B140"/>
    <mergeCell ref="F140:H140"/>
    <mergeCell ref="A141:B141"/>
    <mergeCell ref="F141:H141"/>
    <mergeCell ref="A142:B142"/>
    <mergeCell ref="F142:H142"/>
    <mergeCell ref="A133:H133"/>
    <mergeCell ref="A137:B137"/>
    <mergeCell ref="F137:H137"/>
    <mergeCell ref="A138:B138"/>
    <mergeCell ref="F138:H138"/>
    <mergeCell ref="A139:B139"/>
    <mergeCell ref="F139:H139"/>
    <mergeCell ref="F134:H134"/>
    <mergeCell ref="A135:B135"/>
    <mergeCell ref="F135:H135"/>
    <mergeCell ref="A136:B136"/>
    <mergeCell ref="F136:H136"/>
    <mergeCell ref="A134:C134"/>
    <mergeCell ref="A128:C128"/>
    <mergeCell ref="E128:H128"/>
    <mergeCell ref="A130:C130"/>
    <mergeCell ref="A129:C129"/>
    <mergeCell ref="E129:H129"/>
    <mergeCell ref="E130:H130"/>
    <mergeCell ref="A131:C131"/>
    <mergeCell ref="E131:H131"/>
    <mergeCell ref="A132:C132"/>
    <mergeCell ref="E132:H132"/>
    <mergeCell ref="A119:H119"/>
    <mergeCell ref="A125:C125"/>
    <mergeCell ref="E125:H125"/>
    <mergeCell ref="A126:C126"/>
    <mergeCell ref="E126:H126"/>
    <mergeCell ref="A127:C127"/>
    <mergeCell ref="E127:H127"/>
    <mergeCell ref="A123:C123"/>
    <mergeCell ref="E123:H123"/>
    <mergeCell ref="A124:C124"/>
    <mergeCell ref="E124:H124"/>
    <mergeCell ref="A122:H122"/>
    <mergeCell ref="A115:H115"/>
    <mergeCell ref="A112:B112"/>
    <mergeCell ref="F112:H112"/>
    <mergeCell ref="A113:B113"/>
    <mergeCell ref="A114:B114"/>
    <mergeCell ref="F114:H114"/>
    <mergeCell ref="A116:C116"/>
    <mergeCell ref="E116:H116"/>
    <mergeCell ref="A117:C117"/>
    <mergeCell ref="F117:H117"/>
    <mergeCell ref="A110:B110"/>
    <mergeCell ref="F110:H110"/>
    <mergeCell ref="A106:B106"/>
    <mergeCell ref="F106:H106"/>
    <mergeCell ref="A107:B107"/>
    <mergeCell ref="F107:H107"/>
    <mergeCell ref="A108:B108"/>
    <mergeCell ref="F108:H108"/>
    <mergeCell ref="F113:H113"/>
    <mergeCell ref="A105:B105"/>
    <mergeCell ref="F105:H105"/>
    <mergeCell ref="A100:B100"/>
    <mergeCell ref="F100:H100"/>
    <mergeCell ref="A101:B101"/>
    <mergeCell ref="F101:H101"/>
    <mergeCell ref="A102:B102"/>
    <mergeCell ref="F102:H102"/>
    <mergeCell ref="A109:B109"/>
    <mergeCell ref="F109:H109"/>
    <mergeCell ref="A99:B99"/>
    <mergeCell ref="F99:H99"/>
    <mergeCell ref="F95:H95"/>
    <mergeCell ref="A96:B96"/>
    <mergeCell ref="F96:H96"/>
    <mergeCell ref="A103:B103"/>
    <mergeCell ref="F103:H103"/>
    <mergeCell ref="A104:B104"/>
    <mergeCell ref="F104:H104"/>
    <mergeCell ref="A72:B72"/>
    <mergeCell ref="F72:H72"/>
    <mergeCell ref="A73:B73"/>
    <mergeCell ref="F73:H73"/>
    <mergeCell ref="A77:C77"/>
    <mergeCell ref="E77:H77"/>
    <mergeCell ref="A78:C78"/>
    <mergeCell ref="F78:H78"/>
    <mergeCell ref="A85:C85"/>
    <mergeCell ref="E85:H85"/>
    <mergeCell ref="E84:H84"/>
    <mergeCell ref="A80:H80"/>
    <mergeCell ref="A83:H83"/>
    <mergeCell ref="A69:B69"/>
    <mergeCell ref="F69:H69"/>
    <mergeCell ref="A70:B70"/>
    <mergeCell ref="F70:H70"/>
    <mergeCell ref="A71:B71"/>
    <mergeCell ref="F71:H71"/>
    <mergeCell ref="A66:B66"/>
    <mergeCell ref="F66:H66"/>
    <mergeCell ref="A67:B67"/>
    <mergeCell ref="F67:H67"/>
    <mergeCell ref="A68:B68"/>
    <mergeCell ref="F68:H68"/>
    <mergeCell ref="A63:B63"/>
    <mergeCell ref="F63:H63"/>
    <mergeCell ref="A64:B64"/>
    <mergeCell ref="F64:H64"/>
    <mergeCell ref="A65:B65"/>
    <mergeCell ref="F65:H65"/>
    <mergeCell ref="A60:B60"/>
    <mergeCell ref="F60:H60"/>
    <mergeCell ref="A61:B61"/>
    <mergeCell ref="F61:H61"/>
    <mergeCell ref="A62:B62"/>
    <mergeCell ref="F62:H62"/>
    <mergeCell ref="A58:B58"/>
    <mergeCell ref="F58:H58"/>
    <mergeCell ref="A59:B59"/>
    <mergeCell ref="F59:H59"/>
    <mergeCell ref="A54:C54"/>
    <mergeCell ref="E54:H54"/>
    <mergeCell ref="A55:H55"/>
    <mergeCell ref="A56:C56"/>
    <mergeCell ref="F56:H56"/>
    <mergeCell ref="A53:C53"/>
    <mergeCell ref="E53:H53"/>
    <mergeCell ref="A48:C48"/>
    <mergeCell ref="E48:H48"/>
    <mergeCell ref="A49:C49"/>
    <mergeCell ref="E49:H49"/>
    <mergeCell ref="A50:C50"/>
    <mergeCell ref="E50:H50"/>
    <mergeCell ref="A57:B57"/>
    <mergeCell ref="F57:H57"/>
    <mergeCell ref="A9:C9"/>
    <mergeCell ref="E9:H9"/>
    <mergeCell ref="A28:B28"/>
    <mergeCell ref="A38:C38"/>
    <mergeCell ref="A23:B23"/>
    <mergeCell ref="F23:H23"/>
    <mergeCell ref="A24:B24"/>
    <mergeCell ref="F24:H24"/>
    <mergeCell ref="A25:B25"/>
    <mergeCell ref="F25:H25"/>
    <mergeCell ref="A33:B33"/>
    <mergeCell ref="F33:H33"/>
    <mergeCell ref="A35:B35"/>
    <mergeCell ref="F35:H35"/>
    <mergeCell ref="F17:H17"/>
    <mergeCell ref="E38:H38"/>
    <mergeCell ref="A20:B20"/>
    <mergeCell ref="F20:H20"/>
    <mergeCell ref="A34:B34"/>
    <mergeCell ref="F34:H34"/>
    <mergeCell ref="A21:B21"/>
    <mergeCell ref="F21:H21"/>
    <mergeCell ref="A22:B22"/>
    <mergeCell ref="F22:H22"/>
    <mergeCell ref="A2:H2"/>
    <mergeCell ref="A7:C7"/>
    <mergeCell ref="A5:H5"/>
    <mergeCell ref="A6:C6"/>
    <mergeCell ref="E6:H6"/>
    <mergeCell ref="E7:H7"/>
    <mergeCell ref="A18:B18"/>
    <mergeCell ref="F18:H18"/>
    <mergeCell ref="A19:B19"/>
    <mergeCell ref="F19:H19"/>
    <mergeCell ref="A10:C10"/>
    <mergeCell ref="E10:H10"/>
    <mergeCell ref="A11:C11"/>
    <mergeCell ref="E11:H11"/>
    <mergeCell ref="A12:C12"/>
    <mergeCell ref="E12:H12"/>
    <mergeCell ref="A13:C13"/>
    <mergeCell ref="E13:H13"/>
    <mergeCell ref="A14:C14"/>
    <mergeCell ref="E14:H14"/>
    <mergeCell ref="A15:C15"/>
    <mergeCell ref="E15:H15"/>
    <mergeCell ref="A16:H16"/>
    <mergeCell ref="A17:C17"/>
    <mergeCell ref="F28:H28"/>
    <mergeCell ref="A26:B26"/>
    <mergeCell ref="F26:H26"/>
    <mergeCell ref="A27:B27"/>
    <mergeCell ref="F27:H27"/>
    <mergeCell ref="A29:B29"/>
    <mergeCell ref="F29:H29"/>
    <mergeCell ref="A30:B30"/>
    <mergeCell ref="F30:H30"/>
    <mergeCell ref="A31:B31"/>
    <mergeCell ref="F31:H31"/>
    <mergeCell ref="A32:B32"/>
    <mergeCell ref="F32:H32"/>
    <mergeCell ref="A74:B74"/>
    <mergeCell ref="F74:H74"/>
    <mergeCell ref="A75:B75"/>
    <mergeCell ref="F75:H75"/>
    <mergeCell ref="A76:H76"/>
    <mergeCell ref="A39:C39"/>
    <mergeCell ref="F39:H39"/>
    <mergeCell ref="A37:H37"/>
    <mergeCell ref="A36:B36"/>
    <mergeCell ref="F36:H36"/>
    <mergeCell ref="A41:H41"/>
    <mergeCell ref="A44:H44"/>
    <mergeCell ref="A45:C45"/>
    <mergeCell ref="E45:H45"/>
    <mergeCell ref="A46:C46"/>
    <mergeCell ref="E46:H46"/>
    <mergeCell ref="A51:C51"/>
    <mergeCell ref="E51:H51"/>
    <mergeCell ref="A52:C52"/>
    <mergeCell ref="E52:H52"/>
    <mergeCell ref="A92:C92"/>
    <mergeCell ref="E92:H92"/>
    <mergeCell ref="E93:H93"/>
    <mergeCell ref="A94:H94"/>
    <mergeCell ref="A95:C95"/>
    <mergeCell ref="A111:B111"/>
    <mergeCell ref="F111:H111"/>
    <mergeCell ref="A86:C86"/>
    <mergeCell ref="E86:H86"/>
    <mergeCell ref="A87:C87"/>
    <mergeCell ref="E87:H87"/>
    <mergeCell ref="A91:C91"/>
    <mergeCell ref="E91:H91"/>
    <mergeCell ref="A93:C93"/>
    <mergeCell ref="A88:C88"/>
    <mergeCell ref="E88:H88"/>
    <mergeCell ref="A89:C89"/>
    <mergeCell ref="E89:H89"/>
    <mergeCell ref="A90:C90"/>
    <mergeCell ref="E90:H90"/>
    <mergeCell ref="A97:B97"/>
    <mergeCell ref="F97:H97"/>
    <mergeCell ref="A98:B98"/>
    <mergeCell ref="F98:H98"/>
    <mergeCell ref="F151:H151"/>
    <mergeCell ref="A152:B152"/>
    <mergeCell ref="F152:H152"/>
    <mergeCell ref="A153:B153"/>
    <mergeCell ref="F153:H153"/>
    <mergeCell ref="A154:H154"/>
    <mergeCell ref="A155:C155"/>
    <mergeCell ref="E155:H155"/>
    <mergeCell ref="F156:H156"/>
    <mergeCell ref="A158:H158"/>
    <mergeCell ref="A161:H161"/>
    <mergeCell ref="A166:C166"/>
    <mergeCell ref="E166:H166"/>
    <mergeCell ref="E167:H167"/>
    <mergeCell ref="A167:C167"/>
    <mergeCell ref="A185:B185"/>
    <mergeCell ref="F185:H185"/>
    <mergeCell ref="A186:B186"/>
    <mergeCell ref="F186:H186"/>
    <mergeCell ref="F175:H175"/>
    <mergeCell ref="A176:B176"/>
    <mergeCell ref="F176:H176"/>
    <mergeCell ref="F173:H173"/>
    <mergeCell ref="A171:C171"/>
    <mergeCell ref="E171:H171"/>
    <mergeCell ref="A172:H172"/>
    <mergeCell ref="A173:C173"/>
    <mergeCell ref="A184:B184"/>
    <mergeCell ref="F184:H184"/>
    <mergeCell ref="A180:B180"/>
    <mergeCell ref="F180:H180"/>
    <mergeCell ref="A181:B181"/>
    <mergeCell ref="F181:H181"/>
    <mergeCell ref="A187:B187"/>
    <mergeCell ref="A188:B188"/>
    <mergeCell ref="F188:H188"/>
    <mergeCell ref="A189:B189"/>
    <mergeCell ref="F189:H189"/>
    <mergeCell ref="F187:H187"/>
    <mergeCell ref="A195:C195"/>
    <mergeCell ref="F195:H195"/>
    <mergeCell ref="A190:B190"/>
    <mergeCell ref="F190:H190"/>
    <mergeCell ref="A191:B191"/>
    <mergeCell ref="F191:H191"/>
    <mergeCell ref="A192:B192"/>
    <mergeCell ref="F192:H192"/>
    <mergeCell ref="A193:H193"/>
    <mergeCell ref="A194:C194"/>
    <mergeCell ref="E194:H194"/>
  </mergeCells>
  <dataValidations count="3">
    <dataValidation type="list" showInputMessage="1" showErrorMessage="1" promptTitle="Yes or No?" sqref="D132 D15 D7:D8 D93 D124:D125 D54 D46:D47 D85:D86 D171 D163:D164 D210 D202:D203 D249 D241:D242 D288 D280:D281 D327 D319:D320 D366 D358:D359" xr:uid="{852CE9E2-B530-41F0-A1C4-6216A28C5C77}">
      <formula1>YesNo</formula1>
    </dataValidation>
    <dataValidation type="list" allowBlank="1" showInputMessage="1" showErrorMessage="1" prompt="Choose Area" sqref="A4 A82 A43 A121 A160 A199 A238 A277 A316 A355" xr:uid="{2AA09FC6-681C-4A4B-AF2C-D3C36E93DDDB}">
      <formula1>CatchNo</formula1>
    </dataValidation>
    <dataValidation type="decimal" operator="greaterThan" allowBlank="1" showInputMessage="1" showErrorMessage="1" sqref="D10:D14 D18:D20 D24 D26 D29 D33:D34 D36 D49:D53 D57:D59 D63 D65 D68 D72:D73 D75 D88:D92 D96:D98 D102 D104 D107 D111:D112 D114 D127:D131 D135:D137 D141 D143 D146 D150:D151 D153 D166:D170 D174:D176 D180 D182 D185 D189:D190 D192 D205:D209 D213:D215 D219 D221 D224 D228:D229 D231 D244:D248 D252:D254 D258 D260 D263 D267:D268 D270 D283:D287 D291:D293 D297 D299 D302 D306:D307 D309 D322:D326 D330:D332 D336 D338 D341 D345:D346 D348 D361:D365 D369:D371 D375 D377 D380 D384:D385 D387" xr:uid="{DFACAF59-F4A0-46C2-9CAD-8D71EA4B8583}">
      <formula1>0</formula1>
    </dataValidation>
  </dataValidations>
  <pageMargins left="0.5" right="0.5" top="0.75" bottom="0.5" header="0.3" footer="0.3"/>
  <pageSetup paperSize="278" orientation="portrait" r:id="rId1"/>
  <headerFooter>
    <oddHeader xml:space="preserve">&amp;C&amp;"Arial,Regular"&amp;18Dry Swale (O-1)
</oddHeader>
  </headerFooter>
  <rowBreaks count="10" manualBreakCount="10">
    <brk id="39" max="16383" man="1"/>
    <brk id="78" max="16383" man="1"/>
    <brk id="117" max="16383" man="1"/>
    <brk id="156" max="16383" man="1"/>
    <brk id="195" max="16383" man="1"/>
    <brk id="234" max="16383" man="1"/>
    <brk id="273" max="16383" man="1"/>
    <brk id="312" max="16383" man="1"/>
    <brk id="351" max="16383" man="1"/>
    <brk id="39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D2E0AAA-988F-4CA1-A939-2FBA0965A6E9}">
          <x14:formula1>
            <xm:f>Reference!$A$12:$A$15</xm:f>
          </x14:formula1>
          <xm:sqref>D6 D84 D45 D123 D162 D201 D240 D279 D318 D357</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F847-4F50-4DA0-865A-20EBD8715074}">
  <dimension ref="A1:N310"/>
  <sheetViews>
    <sheetView view="pageLayout" zoomScale="90" zoomScaleNormal="100" zoomScalePageLayoutView="90" workbookViewId="0">
      <selection activeCell="K11" sqref="K11"/>
    </sheetView>
  </sheetViews>
  <sheetFormatPr defaultColWidth="9.1796875" defaultRowHeight="12.5" x14ac:dyDescent="0.25"/>
  <cols>
    <col min="1" max="1" width="12.7265625" style="4" customWidth="1"/>
    <col min="2" max="2" width="14.81640625" style="4" customWidth="1"/>
    <col min="3" max="3" width="11.453125" style="4" customWidth="1"/>
    <col min="4" max="4" width="10.7265625" style="4" customWidth="1"/>
    <col min="5" max="5" width="6.453125" style="4" customWidth="1"/>
    <col min="6" max="6" width="8.54296875" style="4" customWidth="1"/>
    <col min="7" max="7" width="12.1796875" style="4" customWidth="1"/>
    <col min="8" max="8" width="15.26953125" style="4" customWidth="1"/>
    <col min="9" max="9" width="8.453125" style="4" customWidth="1"/>
    <col min="10" max="10" width="12.7265625" style="4" customWidth="1"/>
    <col min="11" max="13" width="9.1796875" style="4" customWidth="1"/>
    <col min="14" max="16384" width="9.1796875" style="4"/>
  </cols>
  <sheetData>
    <row r="1" spans="1:14" ht="18" customHeight="1" x14ac:dyDescent="0.25">
      <c r="A1" s="161" t="s">
        <v>56</v>
      </c>
      <c r="B1" s="162" t="str">
        <f>IF('STEP 2-WQv Calculation'!$B$4="","",'STEP 2-WQv Calculation'!$B$4)</f>
        <v/>
      </c>
      <c r="C1" s="163"/>
      <c r="D1" s="163"/>
      <c r="E1" s="163"/>
      <c r="F1" s="163"/>
      <c r="G1" s="163"/>
      <c r="H1" s="163"/>
    </row>
    <row r="2" spans="1:14" ht="15" customHeight="1" x14ac:dyDescent="0.3">
      <c r="A2" s="360" t="s">
        <v>293</v>
      </c>
      <c r="B2" s="361"/>
      <c r="C2" s="361"/>
      <c r="D2" s="361"/>
      <c r="E2" s="361"/>
      <c r="F2" s="361"/>
      <c r="G2" s="361"/>
      <c r="H2" s="362"/>
      <c r="I2" s="438" t="s">
        <v>219</v>
      </c>
      <c r="J2" s="256"/>
      <c r="K2" s="49">
        <f>SUM(B4,B35,B66,B97,B128,B159,B190,B221,B252,B283)</f>
        <v>0</v>
      </c>
      <c r="L2" s="12" t="s">
        <v>223</v>
      </c>
      <c r="M2" s="145"/>
      <c r="N2" s="145"/>
    </row>
    <row r="3" spans="1:14" ht="46.75" customHeight="1" x14ac:dyDescent="0.25">
      <c r="A3" s="164" t="s">
        <v>60</v>
      </c>
      <c r="B3" s="165" t="s">
        <v>600</v>
      </c>
      <c r="C3" s="165" t="s">
        <v>601</v>
      </c>
      <c r="D3" s="165" t="s">
        <v>602</v>
      </c>
      <c r="E3" s="165" t="s">
        <v>64</v>
      </c>
      <c r="F3" s="165" t="s">
        <v>603</v>
      </c>
      <c r="G3" s="165" t="s">
        <v>604</v>
      </c>
      <c r="H3" s="166" t="s">
        <v>13</v>
      </c>
      <c r="I3" s="438" t="s">
        <v>245</v>
      </c>
      <c r="J3" s="256"/>
      <c r="K3" s="21">
        <f>SUM(C4,C35,C66,C97,C128,C159,C190,C221,C252,C283)</f>
        <v>0</v>
      </c>
      <c r="L3" s="12" t="s">
        <v>223</v>
      </c>
      <c r="M3" s="145"/>
      <c r="N3" s="145"/>
    </row>
    <row r="4" spans="1:14" ht="30.25" customHeight="1" x14ac:dyDescent="0.25">
      <c r="A4" s="178"/>
      <c r="B4" s="167" t="str">
        <f>IF($A4="","",(LOOKUP($A4,'STEP 2-WQv Calculation'!$A$8:$A$37,'STEP 2-WQv Calculation'!$B$8:$B$37)))</f>
        <v/>
      </c>
      <c r="C4" s="167" t="str">
        <f>IF($A4="","",(LOOKUP($A4,'STEP 2-WQv Calculation'!$A$8:$A$37,'STEP 2-WQv Calculation'!$C$8:$C$37)))</f>
        <v/>
      </c>
      <c r="D4" s="168" t="str">
        <f>IF($A4="","",(LOOKUP($A4,'STEP 2-WQv Calculation'!$A$8:$A$37,'STEP 2-WQv Calculation'!$D$8:$D$37)))</f>
        <v/>
      </c>
      <c r="E4" s="167" t="str">
        <f>IF($A4="","",(LOOKUP($A4,'STEP 2-WQv Calculation'!$A$8:$A$37,'STEP 2-WQv Calculation'!$E$8:$E$37)))</f>
        <v/>
      </c>
      <c r="F4" s="169" t="str">
        <f>IF($A4="","",(LOOKUP($A4,'STEP 2-WQv Calculation'!$A$8:$A$37,'STEP 2-WQv Calculation'!$F$8:$F$37)))</f>
        <v/>
      </c>
      <c r="G4" s="170">
        <f>'STEP 2-WQv Calculation'!$B$5</f>
        <v>0</v>
      </c>
      <c r="H4" s="171" t="str">
        <f>IF($A4="","",(LOOKUP($A4,'STEP 2-WQv Calculation'!$A$8:$A$37,'STEP 2-WQv Calculation'!$G$8:$G$37)))</f>
        <v/>
      </c>
      <c r="I4" s="438" t="s">
        <v>447</v>
      </c>
      <c r="J4" s="256"/>
      <c r="K4" s="28">
        <f>SUM(D31,D62,D93,D124,D155,D186,D217,D248,D279,D310)</f>
        <v>0</v>
      </c>
      <c r="L4" s="12" t="s">
        <v>2</v>
      </c>
      <c r="M4" s="145"/>
      <c r="N4" s="145"/>
    </row>
    <row r="5" spans="1:14" ht="13" x14ac:dyDescent="0.3">
      <c r="A5" s="360" t="s">
        <v>226</v>
      </c>
      <c r="B5" s="361"/>
      <c r="C5" s="361"/>
      <c r="D5" s="361"/>
      <c r="E5" s="361"/>
      <c r="F5" s="361"/>
      <c r="G5" s="361"/>
      <c r="H5" s="362"/>
      <c r="I5" s="439"/>
      <c r="J5" s="414"/>
      <c r="K5" s="28"/>
      <c r="L5" s="12"/>
      <c r="M5" s="172"/>
      <c r="N5" s="172"/>
    </row>
    <row r="6" spans="1:14" ht="27" customHeight="1" x14ac:dyDescent="0.25">
      <c r="A6" s="242" t="s">
        <v>592</v>
      </c>
      <c r="B6" s="243"/>
      <c r="C6" s="244"/>
      <c r="D6" s="139"/>
      <c r="E6" s="322" t="str">
        <f>IF(D6="Yes","Does not meet design criteria","")</f>
        <v/>
      </c>
      <c r="F6" s="323"/>
      <c r="G6" s="323"/>
      <c r="H6" s="324"/>
    </row>
    <row r="7" spans="1:14" x14ac:dyDescent="0.25">
      <c r="A7" s="242" t="s">
        <v>326</v>
      </c>
      <c r="B7" s="243"/>
      <c r="C7" s="244"/>
      <c r="D7" s="135" t="str">
        <f>IF(B4="","",IF(B4&gt;5,"Yes","No"))</f>
        <v/>
      </c>
      <c r="E7" s="322" t="str">
        <f>IF(D7="Yes","Does not meet design criteria","")</f>
        <v/>
      </c>
      <c r="F7" s="323"/>
      <c r="G7" s="323"/>
      <c r="H7" s="324"/>
    </row>
    <row r="8" spans="1:14" x14ac:dyDescent="0.25">
      <c r="A8" s="242" t="s">
        <v>507</v>
      </c>
      <c r="B8" s="243"/>
      <c r="C8" s="244"/>
      <c r="D8" s="139"/>
      <c r="E8" s="322" t="str">
        <f>IF(D8="","",IF(D8&lt;(F4*0.1),"Does not meet design crtieria",""))</f>
        <v/>
      </c>
      <c r="F8" s="323"/>
      <c r="G8" s="323"/>
      <c r="H8" s="324"/>
    </row>
    <row r="9" spans="1:14" ht="30.25" customHeight="1" x14ac:dyDescent="0.3">
      <c r="A9" s="433" t="s">
        <v>232</v>
      </c>
      <c r="B9" s="434"/>
      <c r="C9" s="434"/>
      <c r="D9" s="361"/>
      <c r="E9" s="361"/>
      <c r="F9" s="361"/>
      <c r="G9" s="361"/>
      <c r="H9" s="362"/>
    </row>
    <row r="10" spans="1:14" ht="15" customHeight="1" x14ac:dyDescent="0.3">
      <c r="A10" s="346"/>
      <c r="B10" s="347"/>
      <c r="C10" s="348"/>
      <c r="D10" s="47" t="s">
        <v>256</v>
      </c>
      <c r="E10" s="48" t="s">
        <v>257</v>
      </c>
      <c r="F10" s="349" t="s">
        <v>258</v>
      </c>
      <c r="G10" s="350"/>
      <c r="H10" s="351"/>
    </row>
    <row r="11" spans="1:14" ht="12.75" customHeight="1" x14ac:dyDescent="0.25">
      <c r="A11" s="289" t="s">
        <v>331</v>
      </c>
      <c r="B11" s="289"/>
      <c r="C11" s="159" t="s">
        <v>332</v>
      </c>
      <c r="D11" s="140"/>
      <c r="E11" s="193" t="s">
        <v>271</v>
      </c>
      <c r="F11" s="345" t="str">
        <f>IF(D11="","",IF(D11&lt;2,"Does not meet design criteria",IF(D11&gt;8,"Does not meet design criteria","")))</f>
        <v/>
      </c>
      <c r="G11" s="345"/>
      <c r="H11" s="345"/>
    </row>
    <row r="12" spans="1:14" ht="12.75" customHeight="1" x14ac:dyDescent="0.25">
      <c r="A12" s="289" t="s">
        <v>606</v>
      </c>
      <c r="B12" s="289"/>
      <c r="C12" s="159" t="s">
        <v>336</v>
      </c>
      <c r="D12" s="179"/>
      <c r="E12" s="193" t="s">
        <v>337</v>
      </c>
      <c r="F12" s="345" t="str">
        <f>IF(D12="","",IF(D12&lt;3,"Does not meet design criteria",""))</f>
        <v/>
      </c>
      <c r="G12" s="345"/>
      <c r="H12" s="345"/>
    </row>
    <row r="13" spans="1:14" ht="12.75" customHeight="1" x14ac:dyDescent="0.25">
      <c r="A13" s="289" t="s">
        <v>333</v>
      </c>
      <c r="B13" s="289"/>
      <c r="C13" s="159" t="s">
        <v>334</v>
      </c>
      <c r="D13" s="179"/>
      <c r="E13" s="193" t="s">
        <v>271</v>
      </c>
      <c r="F13" s="345"/>
      <c r="G13" s="345"/>
      <c r="H13" s="345"/>
    </row>
    <row r="14" spans="1:14" ht="12.75" customHeight="1" x14ac:dyDescent="0.25">
      <c r="A14" s="289" t="s">
        <v>338</v>
      </c>
      <c r="B14" s="289"/>
      <c r="C14" s="159" t="s">
        <v>339</v>
      </c>
      <c r="D14" s="160">
        <f>D11+(2*D12)*D13</f>
        <v>0</v>
      </c>
      <c r="E14" s="193" t="s">
        <v>271</v>
      </c>
      <c r="F14" s="345"/>
      <c r="G14" s="345"/>
      <c r="H14" s="345"/>
    </row>
    <row r="15" spans="1:14" ht="12.75" customHeight="1" x14ac:dyDescent="0.25">
      <c r="A15" s="289" t="s">
        <v>607</v>
      </c>
      <c r="B15" s="289"/>
      <c r="C15" s="159" t="s">
        <v>343</v>
      </c>
      <c r="D15" s="173">
        <f>(D14+D11)*D13/2</f>
        <v>0</v>
      </c>
      <c r="E15" s="193" t="s">
        <v>316</v>
      </c>
      <c r="F15" s="345"/>
      <c r="G15" s="345"/>
      <c r="H15" s="345"/>
    </row>
    <row r="16" spans="1:14" ht="12.75" customHeight="1" x14ac:dyDescent="0.25">
      <c r="A16" s="289" t="s">
        <v>608</v>
      </c>
      <c r="B16" s="289"/>
      <c r="C16" s="159" t="s">
        <v>349</v>
      </c>
      <c r="D16" s="173" t="e">
        <f>IF(D14="","",ROUNDUP(F4/D15,0))</f>
        <v>#VALUE!</v>
      </c>
      <c r="E16" s="193" t="s">
        <v>271</v>
      </c>
      <c r="F16" s="345"/>
      <c r="G16" s="345"/>
      <c r="H16" s="345"/>
    </row>
    <row r="17" spans="1:8" x14ac:dyDescent="0.25">
      <c r="A17" s="289" t="s">
        <v>609</v>
      </c>
      <c r="B17" s="289"/>
      <c r="C17" s="159" t="s">
        <v>351</v>
      </c>
      <c r="D17" s="140"/>
      <c r="E17" s="193" t="s">
        <v>271</v>
      </c>
      <c r="F17" s="345" t="str">
        <f>IF(D17="","",IF(D17&lt;D16,"Does not meet design criteria",""))</f>
        <v/>
      </c>
      <c r="G17" s="345"/>
      <c r="H17" s="345"/>
    </row>
    <row r="18" spans="1:8" ht="12.75" customHeight="1" x14ac:dyDescent="0.25">
      <c r="A18" s="289" t="s">
        <v>610</v>
      </c>
      <c r="B18" s="289"/>
      <c r="C18" s="159" t="s">
        <v>611</v>
      </c>
      <c r="D18" s="174">
        <f>IF(D15="","",D15*D17)</f>
        <v>0</v>
      </c>
      <c r="E18" s="193" t="s">
        <v>2</v>
      </c>
      <c r="F18" s="345" t="str">
        <f>IF(D14="","",IF(D18&lt;D14,"Does not meet sizing criteria",""))</f>
        <v/>
      </c>
      <c r="G18" s="345"/>
      <c r="H18" s="345"/>
    </row>
    <row r="19" spans="1:8" ht="15" customHeight="1" x14ac:dyDescent="0.25">
      <c r="A19" s="289" t="s">
        <v>354</v>
      </c>
      <c r="B19" s="289"/>
      <c r="C19" s="159" t="s">
        <v>355</v>
      </c>
      <c r="D19" s="140"/>
      <c r="E19" s="193" t="s">
        <v>271</v>
      </c>
      <c r="F19" s="345" t="str">
        <f>IF(D19="","",IF(D19&gt;1,"Does not meet design criteria",""))</f>
        <v/>
      </c>
      <c r="G19" s="345"/>
      <c r="H19" s="345"/>
    </row>
    <row r="20" spans="1:8" ht="15" customHeight="1" x14ac:dyDescent="0.25">
      <c r="A20" s="266" t="s">
        <v>356</v>
      </c>
      <c r="B20" s="268"/>
      <c r="C20" s="159" t="s">
        <v>357</v>
      </c>
      <c r="D20" s="62" t="str">
        <f>IF(D19="","",ROUNDUP(D19/D27,0))</f>
        <v/>
      </c>
      <c r="E20" s="193" t="s">
        <v>271</v>
      </c>
      <c r="F20" s="435"/>
      <c r="G20" s="436"/>
      <c r="H20" s="437"/>
    </row>
    <row r="21" spans="1:8" ht="12.75" customHeight="1" x14ac:dyDescent="0.25">
      <c r="A21" s="289" t="s">
        <v>358</v>
      </c>
      <c r="B21" s="289"/>
      <c r="C21" s="159" t="s">
        <v>217</v>
      </c>
      <c r="D21" s="62" t="str">
        <f>IF(D20="","",ROUNDUP(D17/D20,0))</f>
        <v/>
      </c>
      <c r="E21" s="193"/>
      <c r="F21" s="345"/>
      <c r="G21" s="345"/>
      <c r="H21" s="345"/>
    </row>
    <row r="22" spans="1:8" ht="12.75" customHeight="1" x14ac:dyDescent="0.25">
      <c r="A22" s="289" t="s">
        <v>612</v>
      </c>
      <c r="B22" s="289"/>
      <c r="C22" s="159" t="s">
        <v>613</v>
      </c>
      <c r="D22" s="179"/>
      <c r="E22" s="193" t="s">
        <v>271</v>
      </c>
      <c r="F22" s="345"/>
      <c r="G22" s="345"/>
      <c r="H22" s="345"/>
    </row>
    <row r="23" spans="1:8" ht="15" customHeight="1" x14ac:dyDescent="0.25">
      <c r="A23" s="289" t="s">
        <v>614</v>
      </c>
      <c r="B23" s="289"/>
      <c r="C23" s="159" t="s">
        <v>615</v>
      </c>
      <c r="D23" s="160">
        <f>D11+(2*D12)*D22</f>
        <v>0</v>
      </c>
      <c r="E23" s="193" t="s">
        <v>271</v>
      </c>
      <c r="F23" s="345"/>
      <c r="G23" s="345"/>
      <c r="H23" s="345"/>
    </row>
    <row r="24" spans="1:8" ht="15" customHeight="1" x14ac:dyDescent="0.25">
      <c r="A24" s="289" t="s">
        <v>616</v>
      </c>
      <c r="B24" s="289"/>
      <c r="C24" s="159" t="s">
        <v>617</v>
      </c>
      <c r="D24" s="173">
        <f>(D22*(D11+D23))/2</f>
        <v>0</v>
      </c>
      <c r="E24" s="193" t="s">
        <v>316</v>
      </c>
      <c r="F24" s="345"/>
      <c r="G24" s="345"/>
      <c r="H24" s="345"/>
    </row>
    <row r="25" spans="1:8" ht="13.15" customHeight="1" x14ac:dyDescent="0.25">
      <c r="A25" s="289" t="s">
        <v>618</v>
      </c>
      <c r="B25" s="289"/>
      <c r="C25" s="159" t="s">
        <v>619</v>
      </c>
      <c r="D25" s="173">
        <f>D11+((D22^2)+((D12*D22)^2)^0.5)*2</f>
        <v>0</v>
      </c>
      <c r="E25" s="193" t="s">
        <v>271</v>
      </c>
      <c r="F25" s="345"/>
      <c r="G25" s="345"/>
      <c r="H25" s="345"/>
    </row>
    <row r="26" spans="1:8" ht="12.75" customHeight="1" x14ac:dyDescent="0.25">
      <c r="A26" s="289" t="s">
        <v>620</v>
      </c>
      <c r="B26" s="289"/>
      <c r="C26" s="159" t="s">
        <v>268</v>
      </c>
      <c r="D26" s="180"/>
      <c r="E26" s="193"/>
      <c r="F26" s="345"/>
      <c r="G26" s="345"/>
      <c r="H26" s="345"/>
    </row>
    <row r="27" spans="1:8" ht="12.75" customHeight="1" x14ac:dyDescent="0.25">
      <c r="A27" s="289" t="s">
        <v>621</v>
      </c>
      <c r="B27" s="289"/>
      <c r="C27" s="159" t="s">
        <v>214</v>
      </c>
      <c r="D27" s="180"/>
      <c r="E27" s="193" t="s">
        <v>266</v>
      </c>
      <c r="F27" s="345" t="str">
        <f>IF(D27="","",IF(D27&lt;0.005,"Does not meet design criteria",IF(D27&gt;0.04,"Does not meet design criteria","")))</f>
        <v/>
      </c>
      <c r="G27" s="345"/>
      <c r="H27" s="345"/>
    </row>
    <row r="28" spans="1:8" ht="15" customHeight="1" x14ac:dyDescent="0.25">
      <c r="A28" s="289" t="s">
        <v>622</v>
      </c>
      <c r="B28" s="289"/>
      <c r="C28" s="159" t="s">
        <v>345</v>
      </c>
      <c r="D28" s="173" t="str">
        <f>IF(D27="","",ROUNDUP((1.49/D26)*((D24/D25)^(2/3))*(D27^(1/2)),2))</f>
        <v/>
      </c>
      <c r="E28" s="193" t="s">
        <v>346</v>
      </c>
      <c r="F28" s="345" t="str">
        <f>IF(D27="","",IF(D28&gt;5,"Does not meet design criteria",""))</f>
        <v/>
      </c>
      <c r="G28" s="345"/>
      <c r="H28" s="345"/>
    </row>
    <row r="29" spans="1:8" ht="15" customHeight="1" x14ac:dyDescent="0.25">
      <c r="A29" s="289" t="s">
        <v>623</v>
      </c>
      <c r="B29" s="289"/>
      <c r="C29" s="159"/>
      <c r="D29" s="140"/>
      <c r="E29" s="193" t="s">
        <v>271</v>
      </c>
      <c r="F29" s="345" t="str">
        <f>IF(D29="","",IF(D29&lt;0.5,"Does not meet design criteria",""))</f>
        <v/>
      </c>
      <c r="G29" s="345"/>
      <c r="H29" s="345"/>
    </row>
    <row r="30" spans="1:8" ht="15" customHeight="1" x14ac:dyDescent="0.25">
      <c r="A30" s="390" t="s">
        <v>468</v>
      </c>
      <c r="B30" s="390"/>
      <c r="C30" s="390"/>
      <c r="D30" s="390"/>
      <c r="E30" s="390"/>
      <c r="F30" s="390"/>
      <c r="G30" s="390"/>
      <c r="H30" s="390"/>
    </row>
    <row r="31" spans="1:8" ht="14.25" customHeight="1" x14ac:dyDescent="0.25">
      <c r="A31" s="398" t="s">
        <v>469</v>
      </c>
      <c r="B31" s="399"/>
      <c r="C31" s="400"/>
      <c r="D31" s="181" t="str">
        <f>IF(A4="","",IF(B4="",0,IF(D6="Yes",0,IF(D7="Yes",0,IF(D8&lt;(F4*0.1),0,IF(D11&lt;2,0,IF(D11&gt;8,0,IF(D12&lt;3,0,IF(D27&lt;0.005,0,IF(D27&gt;0.04,0,IF(D17&lt;D16,0,IF(D18&lt;F4,0,IF(D28&gt;5,0,IF(D29&lt;0.5,0,F4))))))))))))))</f>
        <v/>
      </c>
      <c r="E31" s="182" t="s">
        <v>2</v>
      </c>
      <c r="F31" s="440"/>
      <c r="G31" s="441"/>
      <c r="H31" s="441"/>
    </row>
    <row r="32" spans="1:8" ht="13.15" customHeight="1" x14ac:dyDescent="0.25">
      <c r="A32" s="161" t="s">
        <v>56</v>
      </c>
      <c r="B32" s="162" t="str">
        <f>IF('STEP 2-WQv Calculation'!$B$4="","",'STEP 2-WQv Calculation'!$B$4)</f>
        <v/>
      </c>
      <c r="C32" s="163"/>
      <c r="D32" s="163"/>
      <c r="E32" s="163"/>
      <c r="F32" s="163"/>
      <c r="G32" s="163"/>
      <c r="H32" s="163"/>
    </row>
    <row r="33" spans="1:8" ht="13.15" customHeight="1" x14ac:dyDescent="0.3">
      <c r="A33" s="360" t="s">
        <v>293</v>
      </c>
      <c r="B33" s="361"/>
      <c r="C33" s="361"/>
      <c r="D33" s="361"/>
      <c r="E33" s="361"/>
      <c r="F33" s="361"/>
      <c r="G33" s="361"/>
      <c r="H33" s="362"/>
    </row>
    <row r="34" spans="1:8" ht="39" customHeight="1" x14ac:dyDescent="0.25">
      <c r="A34" s="164" t="s">
        <v>60</v>
      </c>
      <c r="B34" s="165" t="s">
        <v>600</v>
      </c>
      <c r="C34" s="165" t="s">
        <v>601</v>
      </c>
      <c r="D34" s="165" t="s">
        <v>602</v>
      </c>
      <c r="E34" s="165" t="s">
        <v>64</v>
      </c>
      <c r="F34" s="165" t="s">
        <v>603</v>
      </c>
      <c r="G34" s="165" t="s">
        <v>604</v>
      </c>
      <c r="H34" s="166" t="s">
        <v>13</v>
      </c>
    </row>
    <row r="35" spans="1:8" ht="26.25" customHeight="1" x14ac:dyDescent="0.25">
      <c r="A35" s="178"/>
      <c r="B35" s="167" t="str">
        <f>IF($A35="","",(LOOKUP($A35,'STEP 2-WQv Calculation'!$A$8:$A$37,'STEP 2-WQv Calculation'!$B$8:$B$37)))</f>
        <v/>
      </c>
      <c r="C35" s="167" t="str">
        <f>IF($A35="","",(LOOKUP($A35,'STEP 2-WQv Calculation'!$A$8:$A$37,'STEP 2-WQv Calculation'!$C$8:$C$37)))</f>
        <v/>
      </c>
      <c r="D35" s="168" t="str">
        <f>IF($A35="","",(LOOKUP($A35,'STEP 2-WQv Calculation'!$A$8:$A$37,'STEP 2-WQv Calculation'!$D$8:$D$37)))</f>
        <v/>
      </c>
      <c r="E35" s="167" t="str">
        <f>IF($A35="","",(LOOKUP($A35,'STEP 2-WQv Calculation'!$A$8:$A$37,'STEP 2-WQv Calculation'!$E$8:$E$37)))</f>
        <v/>
      </c>
      <c r="F35" s="169" t="str">
        <f>IF($A35="","",(LOOKUP($A35,'STEP 2-WQv Calculation'!$A$8:$A$37,'STEP 2-WQv Calculation'!$F$8:$F$37)))</f>
        <v/>
      </c>
      <c r="G35" s="170">
        <f>'STEP 2-WQv Calculation'!$B$5</f>
        <v>0</v>
      </c>
      <c r="H35" s="171" t="str">
        <f>IF($A35="","",(LOOKUP($A35,'STEP 2-WQv Calculation'!$A$8:$A$37,'STEP 2-WQv Calculation'!$G$8:$G$37)))</f>
        <v/>
      </c>
    </row>
    <row r="36" spans="1:8" ht="13.15" customHeight="1" x14ac:dyDescent="0.3">
      <c r="A36" s="360" t="s">
        <v>226</v>
      </c>
      <c r="B36" s="361"/>
      <c r="C36" s="361"/>
      <c r="D36" s="361"/>
      <c r="E36" s="361"/>
      <c r="F36" s="361"/>
      <c r="G36" s="361"/>
      <c r="H36" s="362"/>
    </row>
    <row r="37" spans="1:8" ht="24.75" customHeight="1" x14ac:dyDescent="0.25">
      <c r="A37" s="242" t="s">
        <v>592</v>
      </c>
      <c r="B37" s="243"/>
      <c r="C37" s="244"/>
      <c r="D37" s="139"/>
      <c r="E37" s="322" t="str">
        <f>IF(D37="Yes","Does not meet design criteria","")</f>
        <v/>
      </c>
      <c r="F37" s="323"/>
      <c r="G37" s="323"/>
      <c r="H37" s="324"/>
    </row>
    <row r="38" spans="1:8" ht="12.75" customHeight="1" x14ac:dyDescent="0.25">
      <c r="A38" s="242" t="s">
        <v>326</v>
      </c>
      <c r="B38" s="243"/>
      <c r="C38" s="244"/>
      <c r="D38" s="135" t="str">
        <f>IF(B35="","",IF(B35&gt;5,"Yes","No"))</f>
        <v/>
      </c>
      <c r="E38" s="322" t="str">
        <f>IF(D38="Yes","Does not meet design criteria","")</f>
        <v/>
      </c>
      <c r="F38" s="323"/>
      <c r="G38" s="323"/>
      <c r="H38" s="324"/>
    </row>
    <row r="39" spans="1:8" ht="12.75" customHeight="1" x14ac:dyDescent="0.25">
      <c r="A39" s="242" t="s">
        <v>507</v>
      </c>
      <c r="B39" s="243"/>
      <c r="C39" s="244"/>
      <c r="D39" s="139"/>
      <c r="E39" s="322" t="str">
        <f>IF(D39="","",IF(D39&lt;(F35*0.1),"Does not meet design crtieria",""))</f>
        <v/>
      </c>
      <c r="F39" s="323"/>
      <c r="G39" s="323"/>
      <c r="H39" s="324"/>
    </row>
    <row r="40" spans="1:8" ht="13.15" customHeight="1" x14ac:dyDescent="0.3">
      <c r="A40" s="433" t="s">
        <v>232</v>
      </c>
      <c r="B40" s="434"/>
      <c r="C40" s="434"/>
      <c r="D40" s="361"/>
      <c r="E40" s="361"/>
      <c r="F40" s="361"/>
      <c r="G40" s="361"/>
      <c r="H40" s="362"/>
    </row>
    <row r="41" spans="1:8" ht="13" x14ac:dyDescent="0.3">
      <c r="A41" s="346"/>
      <c r="B41" s="347"/>
      <c r="C41" s="348"/>
      <c r="D41" s="47" t="s">
        <v>256</v>
      </c>
      <c r="E41" s="48" t="s">
        <v>257</v>
      </c>
      <c r="F41" s="349" t="s">
        <v>258</v>
      </c>
      <c r="G41" s="350"/>
      <c r="H41" s="351"/>
    </row>
    <row r="42" spans="1:8" ht="12.75" customHeight="1" x14ac:dyDescent="0.25">
      <c r="A42" s="289" t="s">
        <v>331</v>
      </c>
      <c r="B42" s="289"/>
      <c r="C42" s="159" t="s">
        <v>332</v>
      </c>
      <c r="D42" s="140"/>
      <c r="E42" s="193" t="s">
        <v>271</v>
      </c>
      <c r="F42" s="345" t="str">
        <f>IF(D42="","",IF(D42&lt;2,"Does not meet design criteria",IF(D42&gt;8,"Does not meet design criteria","")))</f>
        <v/>
      </c>
      <c r="G42" s="345"/>
      <c r="H42" s="345"/>
    </row>
    <row r="43" spans="1:8" ht="12.75" customHeight="1" x14ac:dyDescent="0.25">
      <c r="A43" s="289" t="s">
        <v>606</v>
      </c>
      <c r="B43" s="289"/>
      <c r="C43" s="159" t="s">
        <v>336</v>
      </c>
      <c r="D43" s="179"/>
      <c r="E43" s="193" t="s">
        <v>337</v>
      </c>
      <c r="F43" s="345" t="str">
        <f>IF(D43="","",IF(D43&lt;3,"Does not meet design criteria",""))</f>
        <v/>
      </c>
      <c r="G43" s="345"/>
      <c r="H43" s="345"/>
    </row>
    <row r="44" spans="1:8" ht="12.75" customHeight="1" x14ac:dyDescent="0.25">
      <c r="A44" s="289" t="s">
        <v>333</v>
      </c>
      <c r="B44" s="289"/>
      <c r="C44" s="159" t="s">
        <v>334</v>
      </c>
      <c r="D44" s="179"/>
      <c r="E44" s="193" t="s">
        <v>271</v>
      </c>
      <c r="F44" s="345"/>
      <c r="G44" s="345"/>
      <c r="H44" s="345"/>
    </row>
    <row r="45" spans="1:8" ht="12.75" customHeight="1" x14ac:dyDescent="0.25">
      <c r="A45" s="289" t="s">
        <v>338</v>
      </c>
      <c r="B45" s="289"/>
      <c r="C45" s="159" t="s">
        <v>339</v>
      </c>
      <c r="D45" s="160">
        <f>D42+(2*D43)*D44</f>
        <v>0</v>
      </c>
      <c r="E45" s="193" t="s">
        <v>271</v>
      </c>
      <c r="F45" s="345"/>
      <c r="G45" s="345"/>
      <c r="H45" s="345"/>
    </row>
    <row r="46" spans="1:8" ht="12.75" customHeight="1" x14ac:dyDescent="0.25">
      <c r="A46" s="289" t="s">
        <v>607</v>
      </c>
      <c r="B46" s="289"/>
      <c r="C46" s="159" t="s">
        <v>343</v>
      </c>
      <c r="D46" s="173">
        <f>(D45+D42)*D44/2</f>
        <v>0</v>
      </c>
      <c r="E46" s="193" t="s">
        <v>316</v>
      </c>
      <c r="F46" s="345"/>
      <c r="G46" s="345"/>
      <c r="H46" s="345"/>
    </row>
    <row r="47" spans="1:8" ht="12.75" customHeight="1" x14ac:dyDescent="0.25">
      <c r="A47" s="289" t="s">
        <v>608</v>
      </c>
      <c r="B47" s="289"/>
      <c r="C47" s="159" t="s">
        <v>349</v>
      </c>
      <c r="D47" s="173" t="e">
        <f>IF(D45="","",ROUNDUP(F35/D46,0))</f>
        <v>#VALUE!</v>
      </c>
      <c r="E47" s="193" t="s">
        <v>271</v>
      </c>
      <c r="F47" s="345"/>
      <c r="G47" s="345"/>
      <c r="H47" s="345"/>
    </row>
    <row r="48" spans="1:8" ht="12.75" customHeight="1" x14ac:dyDescent="0.25">
      <c r="A48" s="289" t="s">
        <v>609</v>
      </c>
      <c r="B48" s="289"/>
      <c r="C48" s="159" t="s">
        <v>351</v>
      </c>
      <c r="D48" s="140"/>
      <c r="E48" s="193" t="s">
        <v>271</v>
      </c>
      <c r="F48" s="345" t="str">
        <f>IF(D48="","",IF(D48&lt;D47,"Does not meet design criteria",""))</f>
        <v/>
      </c>
      <c r="G48" s="345"/>
      <c r="H48" s="345"/>
    </row>
    <row r="49" spans="1:8" ht="12.75" customHeight="1" x14ac:dyDescent="0.25">
      <c r="A49" s="289" t="s">
        <v>610</v>
      </c>
      <c r="B49" s="289"/>
      <c r="C49" s="159" t="s">
        <v>611</v>
      </c>
      <c r="D49" s="174">
        <f>IF(D46="","",D46*D48)</f>
        <v>0</v>
      </c>
      <c r="E49" s="193" t="s">
        <v>2</v>
      </c>
      <c r="F49" s="345" t="str">
        <f>IF(D45="","",IF(D49&lt;D45,"Does not meet sizing criteria",""))</f>
        <v/>
      </c>
      <c r="G49" s="345"/>
      <c r="H49" s="345"/>
    </row>
    <row r="50" spans="1:8" ht="12.75" customHeight="1" x14ac:dyDescent="0.25">
      <c r="A50" s="289" t="s">
        <v>354</v>
      </c>
      <c r="B50" s="289"/>
      <c r="C50" s="159" t="s">
        <v>355</v>
      </c>
      <c r="D50" s="140"/>
      <c r="E50" s="193" t="s">
        <v>271</v>
      </c>
      <c r="F50" s="345" t="str">
        <f>IF(D50="","",IF(D50&gt;1,"Does not meet design criteria",""))</f>
        <v/>
      </c>
      <c r="G50" s="345"/>
      <c r="H50" s="345"/>
    </row>
    <row r="51" spans="1:8" ht="12.75" customHeight="1" x14ac:dyDescent="0.25">
      <c r="A51" s="266" t="s">
        <v>356</v>
      </c>
      <c r="B51" s="268"/>
      <c r="C51" s="159" t="s">
        <v>357</v>
      </c>
      <c r="D51" s="62" t="str">
        <f>IF(D50="","",ROUNDUP(D50/D58,0))</f>
        <v/>
      </c>
      <c r="E51" s="193" t="s">
        <v>271</v>
      </c>
      <c r="F51" s="435"/>
      <c r="G51" s="436"/>
      <c r="H51" s="437"/>
    </row>
    <row r="52" spans="1:8" ht="12.75" customHeight="1" x14ac:dyDescent="0.25">
      <c r="A52" s="289" t="s">
        <v>358</v>
      </c>
      <c r="B52" s="289"/>
      <c r="C52" s="159" t="s">
        <v>217</v>
      </c>
      <c r="D52" s="62" t="str">
        <f>IF(D51="","",ROUNDUP(D48/D51,0))</f>
        <v/>
      </c>
      <c r="E52" s="193"/>
      <c r="F52" s="345"/>
      <c r="G52" s="345"/>
      <c r="H52" s="345"/>
    </row>
    <row r="53" spans="1:8" ht="12.75" customHeight="1" x14ac:dyDescent="0.25">
      <c r="A53" s="289" t="s">
        <v>612</v>
      </c>
      <c r="B53" s="289"/>
      <c r="C53" s="159" t="s">
        <v>613</v>
      </c>
      <c r="D53" s="179"/>
      <c r="E53" s="193" t="s">
        <v>271</v>
      </c>
      <c r="F53" s="345"/>
      <c r="G53" s="345"/>
      <c r="H53" s="345"/>
    </row>
    <row r="54" spans="1:8" ht="12.75" customHeight="1" x14ac:dyDescent="0.25">
      <c r="A54" s="289" t="s">
        <v>614</v>
      </c>
      <c r="B54" s="289"/>
      <c r="C54" s="159" t="s">
        <v>615</v>
      </c>
      <c r="D54" s="160">
        <f>D42+(2*D43)*D53</f>
        <v>0</v>
      </c>
      <c r="E54" s="193" t="s">
        <v>271</v>
      </c>
      <c r="F54" s="345"/>
      <c r="G54" s="345"/>
      <c r="H54" s="345"/>
    </row>
    <row r="55" spans="1:8" ht="12.75" customHeight="1" x14ac:dyDescent="0.25">
      <c r="A55" s="289" t="s">
        <v>616</v>
      </c>
      <c r="B55" s="289"/>
      <c r="C55" s="159" t="s">
        <v>617</v>
      </c>
      <c r="D55" s="173">
        <f>(D53*(D42+D54))/2</f>
        <v>0</v>
      </c>
      <c r="E55" s="193" t="s">
        <v>316</v>
      </c>
      <c r="F55" s="345"/>
      <c r="G55" s="345"/>
      <c r="H55" s="345"/>
    </row>
    <row r="56" spans="1:8" ht="12.75" customHeight="1" x14ac:dyDescent="0.25">
      <c r="A56" s="289" t="s">
        <v>618</v>
      </c>
      <c r="B56" s="289"/>
      <c r="C56" s="159" t="s">
        <v>619</v>
      </c>
      <c r="D56" s="173">
        <f>D42+((D53^2)+((D43*D53)^2)^0.5)*2</f>
        <v>0</v>
      </c>
      <c r="E56" s="193" t="s">
        <v>271</v>
      </c>
      <c r="F56" s="345"/>
      <c r="G56" s="345"/>
      <c r="H56" s="345"/>
    </row>
    <row r="57" spans="1:8" ht="12.75" customHeight="1" x14ac:dyDescent="0.25">
      <c r="A57" s="289" t="s">
        <v>620</v>
      </c>
      <c r="B57" s="289"/>
      <c r="C57" s="159" t="s">
        <v>268</v>
      </c>
      <c r="D57" s="180"/>
      <c r="E57" s="193"/>
      <c r="F57" s="345"/>
      <c r="G57" s="345"/>
      <c r="H57" s="345"/>
    </row>
    <row r="58" spans="1:8" ht="12.75" customHeight="1" x14ac:dyDescent="0.25">
      <c r="A58" s="289" t="s">
        <v>621</v>
      </c>
      <c r="B58" s="289"/>
      <c r="C58" s="159" t="s">
        <v>214</v>
      </c>
      <c r="D58" s="180"/>
      <c r="E58" s="193" t="s">
        <v>266</v>
      </c>
      <c r="F58" s="345" t="str">
        <f>IF(D58="","",IF(D58&lt;0.005,"Does not meet design criteria",IF(D58&gt;0.04,"Does not meet design criteria","")))</f>
        <v/>
      </c>
      <c r="G58" s="345"/>
      <c r="H58" s="345"/>
    </row>
    <row r="59" spans="1:8" x14ac:dyDescent="0.25">
      <c r="A59" s="289" t="s">
        <v>622</v>
      </c>
      <c r="B59" s="289"/>
      <c r="C59" s="159" t="s">
        <v>345</v>
      </c>
      <c r="D59" s="173" t="str">
        <f>IF(D58="","",ROUNDUP((1.49/D57)*((D55/D56)^(2/3))*(D58^(1/2)),2))</f>
        <v/>
      </c>
      <c r="E59" s="193" t="s">
        <v>346</v>
      </c>
      <c r="F59" s="345" t="str">
        <f>IF(D58="","",IF(D59&gt;5,"Does not meet design criteria",""))</f>
        <v/>
      </c>
      <c r="G59" s="345"/>
      <c r="H59" s="345"/>
    </row>
    <row r="60" spans="1:8" ht="12.75" customHeight="1" x14ac:dyDescent="0.25">
      <c r="A60" s="289" t="s">
        <v>623</v>
      </c>
      <c r="B60" s="289"/>
      <c r="C60" s="159"/>
      <c r="D60" s="140"/>
      <c r="E60" s="193" t="s">
        <v>271</v>
      </c>
      <c r="F60" s="345" t="str">
        <f>IF(D60="","",IF(D60&lt;0.5,"Does not meet design criteria",""))</f>
        <v/>
      </c>
      <c r="G60" s="345"/>
      <c r="H60" s="345"/>
    </row>
    <row r="61" spans="1:8" ht="13.15" customHeight="1" x14ac:dyDescent="0.25">
      <c r="A61" s="390" t="s">
        <v>468</v>
      </c>
      <c r="B61" s="390"/>
      <c r="C61" s="390"/>
      <c r="D61" s="390"/>
      <c r="E61" s="390"/>
      <c r="F61" s="390"/>
      <c r="G61" s="390"/>
      <c r="H61" s="390"/>
    </row>
    <row r="62" spans="1:8" ht="13.15" customHeight="1" x14ac:dyDescent="0.25">
      <c r="A62" s="398" t="s">
        <v>469</v>
      </c>
      <c r="B62" s="399"/>
      <c r="C62" s="400"/>
      <c r="D62" s="181" t="str">
        <f>IF(A35="","",IF(B35="",0,IF(D37="Yes",0,IF(D38="Yes",0,IF(D39&lt;(F35*0.1),0,IF(D42&lt;2,0,IF(D42&gt;8,0,IF(D43&lt;3,0,IF(D58&lt;0.005,0,IF(D58&gt;0.04,0,IF(D48&lt;D47,0,IF(D49&lt;F35,0,IF(D59&gt;5,0,IF(D60&lt;0.5,0,F35))))))))))))))</f>
        <v/>
      </c>
      <c r="E62" s="182" t="s">
        <v>2</v>
      </c>
      <c r="F62" s="440"/>
      <c r="G62" s="441"/>
      <c r="H62" s="441"/>
    </row>
    <row r="63" spans="1:8" ht="13.15" customHeight="1" x14ac:dyDescent="0.25">
      <c r="A63" s="161" t="s">
        <v>56</v>
      </c>
      <c r="B63" s="162" t="str">
        <f>IF('STEP 2-WQv Calculation'!$B$4="","",'STEP 2-WQv Calculation'!$B$4)</f>
        <v/>
      </c>
      <c r="C63" s="163"/>
      <c r="D63" s="163"/>
      <c r="E63" s="163"/>
      <c r="F63" s="163"/>
      <c r="G63" s="163"/>
      <c r="H63" s="163"/>
    </row>
    <row r="64" spans="1:8" ht="13.15" customHeight="1" x14ac:dyDescent="0.3">
      <c r="A64" s="360" t="s">
        <v>293</v>
      </c>
      <c r="B64" s="361"/>
      <c r="C64" s="361"/>
      <c r="D64" s="361"/>
      <c r="E64" s="361"/>
      <c r="F64" s="361"/>
      <c r="G64" s="361"/>
      <c r="H64" s="362"/>
    </row>
    <row r="65" spans="1:8" ht="39" customHeight="1" x14ac:dyDescent="0.25">
      <c r="A65" s="164" t="s">
        <v>60</v>
      </c>
      <c r="B65" s="165" t="s">
        <v>600</v>
      </c>
      <c r="C65" s="165" t="s">
        <v>601</v>
      </c>
      <c r="D65" s="165" t="s">
        <v>602</v>
      </c>
      <c r="E65" s="165" t="s">
        <v>64</v>
      </c>
      <c r="F65" s="165" t="s">
        <v>603</v>
      </c>
      <c r="G65" s="165" t="s">
        <v>604</v>
      </c>
      <c r="H65" s="166" t="s">
        <v>13</v>
      </c>
    </row>
    <row r="66" spans="1:8" ht="24.75" customHeight="1" x14ac:dyDescent="0.25">
      <c r="A66" s="178"/>
      <c r="B66" s="167" t="str">
        <f>IF($A66="","",(LOOKUP($A66,'STEP 2-WQv Calculation'!$A$8:$A$37,'STEP 2-WQv Calculation'!$B$8:$B$37)))</f>
        <v/>
      </c>
      <c r="C66" s="167" t="str">
        <f>IF($A66="","",(LOOKUP($A66,'STEP 2-WQv Calculation'!$A$8:$A$37,'STEP 2-WQv Calculation'!$C$8:$C$37)))</f>
        <v/>
      </c>
      <c r="D66" s="168" t="str">
        <f>IF($A66="","",(LOOKUP($A66,'STEP 2-WQv Calculation'!$A$8:$A$37,'STEP 2-WQv Calculation'!$D$8:$D$37)))</f>
        <v/>
      </c>
      <c r="E66" s="167" t="str">
        <f>IF($A66="","",(LOOKUP($A66,'STEP 2-WQv Calculation'!$A$8:$A$37,'STEP 2-WQv Calculation'!$E$8:$E$37)))</f>
        <v/>
      </c>
      <c r="F66" s="169" t="str">
        <f>IF($A66="","",(LOOKUP($A66,'STEP 2-WQv Calculation'!$A$8:$A$37,'STEP 2-WQv Calculation'!$F$8:$F$37)))</f>
        <v/>
      </c>
      <c r="G66" s="170">
        <f>'STEP 2-WQv Calculation'!$B$5</f>
        <v>0</v>
      </c>
      <c r="H66" s="171" t="str">
        <f>IF($A66="","",(LOOKUP($A66,'STEP 2-WQv Calculation'!$A$8:$A$37,'STEP 2-WQv Calculation'!$G$8:$G$37)))</f>
        <v/>
      </c>
    </row>
    <row r="67" spans="1:8" ht="13.15" customHeight="1" x14ac:dyDescent="0.3">
      <c r="A67" s="360" t="s">
        <v>226</v>
      </c>
      <c r="B67" s="361"/>
      <c r="C67" s="361"/>
      <c r="D67" s="361"/>
      <c r="E67" s="361"/>
      <c r="F67" s="361"/>
      <c r="G67" s="361"/>
      <c r="H67" s="362"/>
    </row>
    <row r="68" spans="1:8" ht="27" customHeight="1" x14ac:dyDescent="0.25">
      <c r="A68" s="242" t="s">
        <v>592</v>
      </c>
      <c r="B68" s="243"/>
      <c r="C68" s="244"/>
      <c r="D68" s="139"/>
      <c r="E68" s="322" t="str">
        <f>IF(D68="Yes","Does not meet design criteria","")</f>
        <v/>
      </c>
      <c r="F68" s="323"/>
      <c r="G68" s="323"/>
      <c r="H68" s="324"/>
    </row>
    <row r="69" spans="1:8" ht="12.75" customHeight="1" x14ac:dyDescent="0.25">
      <c r="A69" s="242" t="s">
        <v>326</v>
      </c>
      <c r="B69" s="243"/>
      <c r="C69" s="244"/>
      <c r="D69" s="135" t="str">
        <f>IF(B66="","",IF(B66&gt;5,"Yes","No"))</f>
        <v/>
      </c>
      <c r="E69" s="322" t="str">
        <f>IF(D69="Yes","Does not meet design criteria","")</f>
        <v/>
      </c>
      <c r="F69" s="323"/>
      <c r="G69" s="323"/>
      <c r="H69" s="324"/>
    </row>
    <row r="70" spans="1:8" ht="12.75" customHeight="1" x14ac:dyDescent="0.25">
      <c r="A70" s="242" t="s">
        <v>507</v>
      </c>
      <c r="B70" s="243"/>
      <c r="C70" s="244"/>
      <c r="D70" s="139"/>
      <c r="E70" s="322" t="str">
        <f>IF(D70="","",IF(D70&lt;(F66*0.1),"Does not meet design crtieria",""))</f>
        <v/>
      </c>
      <c r="F70" s="323"/>
      <c r="G70" s="323"/>
      <c r="H70" s="324"/>
    </row>
    <row r="71" spans="1:8" ht="13.15" customHeight="1" x14ac:dyDescent="0.3">
      <c r="A71" s="433" t="s">
        <v>232</v>
      </c>
      <c r="B71" s="434"/>
      <c r="C71" s="434"/>
      <c r="D71" s="361"/>
      <c r="E71" s="361"/>
      <c r="F71" s="361"/>
      <c r="G71" s="361"/>
      <c r="H71" s="362"/>
    </row>
    <row r="72" spans="1:8" ht="13" x14ac:dyDescent="0.3">
      <c r="A72" s="346"/>
      <c r="B72" s="347"/>
      <c r="C72" s="348"/>
      <c r="D72" s="47" t="s">
        <v>256</v>
      </c>
      <c r="E72" s="48" t="s">
        <v>257</v>
      </c>
      <c r="F72" s="349" t="s">
        <v>258</v>
      </c>
      <c r="G72" s="350"/>
      <c r="H72" s="351"/>
    </row>
    <row r="73" spans="1:8" ht="12.75" customHeight="1" x14ac:dyDescent="0.25">
      <c r="A73" s="289" t="s">
        <v>331</v>
      </c>
      <c r="B73" s="289"/>
      <c r="C73" s="159" t="s">
        <v>332</v>
      </c>
      <c r="D73" s="140"/>
      <c r="E73" s="193" t="s">
        <v>271</v>
      </c>
      <c r="F73" s="345" t="str">
        <f>IF(D73="","",IF(D73&lt;2,"Does not meet design criteria",IF(D73&gt;8,"Does not meet design criteria","")))</f>
        <v/>
      </c>
      <c r="G73" s="345"/>
      <c r="H73" s="345"/>
    </row>
    <row r="74" spans="1:8" ht="12.75" customHeight="1" x14ac:dyDescent="0.25">
      <c r="A74" s="289" t="s">
        <v>606</v>
      </c>
      <c r="B74" s="289"/>
      <c r="C74" s="159" t="s">
        <v>336</v>
      </c>
      <c r="D74" s="179"/>
      <c r="E74" s="193" t="s">
        <v>337</v>
      </c>
      <c r="F74" s="345" t="str">
        <f>IF(D74="","",IF(D74&lt;3,"Does not meet design criteria",""))</f>
        <v/>
      </c>
      <c r="G74" s="345"/>
      <c r="H74" s="345"/>
    </row>
    <row r="75" spans="1:8" ht="12.75" customHeight="1" x14ac:dyDescent="0.25">
      <c r="A75" s="289" t="s">
        <v>333</v>
      </c>
      <c r="B75" s="289"/>
      <c r="C75" s="159" t="s">
        <v>334</v>
      </c>
      <c r="D75" s="179"/>
      <c r="E75" s="193" t="s">
        <v>271</v>
      </c>
      <c r="F75" s="345"/>
      <c r="G75" s="345"/>
      <c r="H75" s="345"/>
    </row>
    <row r="76" spans="1:8" ht="12.75" customHeight="1" x14ac:dyDescent="0.25">
      <c r="A76" s="289" t="s">
        <v>338</v>
      </c>
      <c r="B76" s="289"/>
      <c r="C76" s="159" t="s">
        <v>339</v>
      </c>
      <c r="D76" s="160">
        <f>D73+(2*D74)*D75</f>
        <v>0</v>
      </c>
      <c r="E76" s="193" t="s">
        <v>271</v>
      </c>
      <c r="F76" s="345"/>
      <c r="G76" s="345"/>
      <c r="H76" s="345"/>
    </row>
    <row r="77" spans="1:8" ht="12.75" customHeight="1" x14ac:dyDescent="0.25">
      <c r="A77" s="289" t="s">
        <v>607</v>
      </c>
      <c r="B77" s="289"/>
      <c r="C77" s="159" t="s">
        <v>343</v>
      </c>
      <c r="D77" s="173">
        <f>(D76+D73)*D75/2</f>
        <v>0</v>
      </c>
      <c r="E77" s="193" t="s">
        <v>316</v>
      </c>
      <c r="F77" s="345"/>
      <c r="G77" s="345"/>
      <c r="H77" s="345"/>
    </row>
    <row r="78" spans="1:8" ht="12.75" customHeight="1" x14ac:dyDescent="0.25">
      <c r="A78" s="289" t="s">
        <v>608</v>
      </c>
      <c r="B78" s="289"/>
      <c r="C78" s="159" t="s">
        <v>349</v>
      </c>
      <c r="D78" s="173" t="e">
        <f>IF(D76="","",ROUNDUP(F66/D77,0))</f>
        <v>#VALUE!</v>
      </c>
      <c r="E78" s="193" t="s">
        <v>271</v>
      </c>
      <c r="F78" s="345"/>
      <c r="G78" s="345"/>
      <c r="H78" s="345"/>
    </row>
    <row r="79" spans="1:8" ht="12.75" customHeight="1" x14ac:dyDescent="0.25">
      <c r="A79" s="289" t="s">
        <v>609</v>
      </c>
      <c r="B79" s="289"/>
      <c r="C79" s="159" t="s">
        <v>351</v>
      </c>
      <c r="D79" s="140"/>
      <c r="E79" s="193" t="s">
        <v>271</v>
      </c>
      <c r="F79" s="345" t="str">
        <f>IF(D79="","",IF(D79&lt;D78,"Does not meet design criteria",""))</f>
        <v/>
      </c>
      <c r="G79" s="345"/>
      <c r="H79" s="345"/>
    </row>
    <row r="80" spans="1:8" ht="12.75" customHeight="1" x14ac:dyDescent="0.25">
      <c r="A80" s="289" t="s">
        <v>610</v>
      </c>
      <c r="B80" s="289"/>
      <c r="C80" s="159" t="s">
        <v>611</v>
      </c>
      <c r="D80" s="174">
        <f>IF(D77="","",D77*D79)</f>
        <v>0</v>
      </c>
      <c r="E80" s="193" t="s">
        <v>2</v>
      </c>
      <c r="F80" s="345" t="str">
        <f>IF(D76="","",IF(D80&lt;D76,"Does not meet sizing criteria",""))</f>
        <v/>
      </c>
      <c r="G80" s="345"/>
      <c r="H80" s="345"/>
    </row>
    <row r="81" spans="1:8" ht="12.75" customHeight="1" x14ac:dyDescent="0.25">
      <c r="A81" s="289" t="s">
        <v>354</v>
      </c>
      <c r="B81" s="289"/>
      <c r="C81" s="159" t="s">
        <v>355</v>
      </c>
      <c r="D81" s="140"/>
      <c r="E81" s="193" t="s">
        <v>271</v>
      </c>
      <c r="F81" s="345" t="str">
        <f>IF(D81="","",IF(D81&gt;1,"Does not meet design criteria",""))</f>
        <v/>
      </c>
      <c r="G81" s="345"/>
      <c r="H81" s="345"/>
    </row>
    <row r="82" spans="1:8" ht="12.75" customHeight="1" x14ac:dyDescent="0.25">
      <c r="A82" s="266" t="s">
        <v>356</v>
      </c>
      <c r="B82" s="268"/>
      <c r="C82" s="159" t="s">
        <v>357</v>
      </c>
      <c r="D82" s="62" t="str">
        <f>IF(D81="","",ROUNDUP(D81/D89,0))</f>
        <v/>
      </c>
      <c r="E82" s="193" t="s">
        <v>271</v>
      </c>
      <c r="F82" s="435"/>
      <c r="G82" s="436"/>
      <c r="H82" s="437"/>
    </row>
    <row r="83" spans="1:8" ht="12.75" customHeight="1" x14ac:dyDescent="0.25">
      <c r="A83" s="289" t="s">
        <v>358</v>
      </c>
      <c r="B83" s="289"/>
      <c r="C83" s="159" t="s">
        <v>217</v>
      </c>
      <c r="D83" s="62" t="str">
        <f>IF(D82="","",ROUNDUP(D79/D82,0))</f>
        <v/>
      </c>
      <c r="E83" s="193"/>
      <c r="F83" s="345"/>
      <c r="G83" s="345"/>
      <c r="H83" s="345"/>
    </row>
    <row r="84" spans="1:8" ht="12.75" customHeight="1" x14ac:dyDescent="0.25">
      <c r="A84" s="289" t="s">
        <v>612</v>
      </c>
      <c r="B84" s="289"/>
      <c r="C84" s="159" t="s">
        <v>613</v>
      </c>
      <c r="D84" s="179"/>
      <c r="E84" s="193" t="s">
        <v>271</v>
      </c>
      <c r="F84" s="345"/>
      <c r="G84" s="345"/>
      <c r="H84" s="345"/>
    </row>
    <row r="85" spans="1:8" ht="12.75" customHeight="1" x14ac:dyDescent="0.25">
      <c r="A85" s="289" t="s">
        <v>614</v>
      </c>
      <c r="B85" s="289"/>
      <c r="C85" s="159" t="s">
        <v>615</v>
      </c>
      <c r="D85" s="160">
        <f>D73+(2*D74)*D84</f>
        <v>0</v>
      </c>
      <c r="E85" s="193" t="s">
        <v>271</v>
      </c>
      <c r="F85" s="345"/>
      <c r="G85" s="345"/>
      <c r="H85" s="345"/>
    </row>
    <row r="86" spans="1:8" ht="12.75" customHeight="1" x14ac:dyDescent="0.25">
      <c r="A86" s="289" t="s">
        <v>616</v>
      </c>
      <c r="B86" s="289"/>
      <c r="C86" s="159" t="s">
        <v>617</v>
      </c>
      <c r="D86" s="173">
        <f>(D84*(D73+D85))/2</f>
        <v>0</v>
      </c>
      <c r="E86" s="193" t="s">
        <v>316</v>
      </c>
      <c r="F86" s="345"/>
      <c r="G86" s="345"/>
      <c r="H86" s="345"/>
    </row>
    <row r="87" spans="1:8" ht="12.75" customHeight="1" x14ac:dyDescent="0.25">
      <c r="A87" s="289" t="s">
        <v>618</v>
      </c>
      <c r="B87" s="289"/>
      <c r="C87" s="159" t="s">
        <v>619</v>
      </c>
      <c r="D87" s="173">
        <f>D73+((D84^2)+((D74*D84)^2)^0.5)*2</f>
        <v>0</v>
      </c>
      <c r="E87" s="193" t="s">
        <v>271</v>
      </c>
      <c r="F87" s="345"/>
      <c r="G87" s="345"/>
      <c r="H87" s="345"/>
    </row>
    <row r="88" spans="1:8" ht="12.75" customHeight="1" x14ac:dyDescent="0.25">
      <c r="A88" s="289" t="s">
        <v>620</v>
      </c>
      <c r="B88" s="289"/>
      <c r="C88" s="159" t="s">
        <v>268</v>
      </c>
      <c r="D88" s="180"/>
      <c r="E88" s="193"/>
      <c r="F88" s="345"/>
      <c r="G88" s="345"/>
      <c r="H88" s="345"/>
    </row>
    <row r="89" spans="1:8" ht="12.75" customHeight="1" x14ac:dyDescent="0.25">
      <c r="A89" s="289" t="s">
        <v>621</v>
      </c>
      <c r="B89" s="289"/>
      <c r="C89" s="159" t="s">
        <v>214</v>
      </c>
      <c r="D89" s="180"/>
      <c r="E89" s="193" t="s">
        <v>266</v>
      </c>
      <c r="F89" s="345" t="str">
        <f>IF(D89="","",IF(D89&lt;0.005,"Does not meet design criteria",IF(D89&gt;0.04,"Does not meet design criteria","")))</f>
        <v/>
      </c>
      <c r="G89" s="345"/>
      <c r="H89" s="345"/>
    </row>
    <row r="90" spans="1:8" x14ac:dyDescent="0.25">
      <c r="A90" s="289" t="s">
        <v>622</v>
      </c>
      <c r="B90" s="289"/>
      <c r="C90" s="159" t="s">
        <v>345</v>
      </c>
      <c r="D90" s="173" t="str">
        <f>IF(D89="","",ROUNDUP((1.49/D88)*((D86/D87)^(2/3))*(D89^(1/2)),2))</f>
        <v/>
      </c>
      <c r="E90" s="193" t="s">
        <v>346</v>
      </c>
      <c r="F90" s="345" t="str">
        <f>IF(D89="","",IF(D90&gt;5,"Does not meet design criteria",""))</f>
        <v/>
      </c>
      <c r="G90" s="345"/>
      <c r="H90" s="345"/>
    </row>
    <row r="91" spans="1:8" ht="12.75" customHeight="1" x14ac:dyDescent="0.25">
      <c r="A91" s="289" t="s">
        <v>623</v>
      </c>
      <c r="B91" s="289"/>
      <c r="C91" s="159"/>
      <c r="D91" s="140"/>
      <c r="E91" s="193" t="s">
        <v>271</v>
      </c>
      <c r="F91" s="345" t="str">
        <f>IF(D91="","",IF(D91&lt;0.5,"Does not meet design criteria",""))</f>
        <v/>
      </c>
      <c r="G91" s="345"/>
      <c r="H91" s="345"/>
    </row>
    <row r="92" spans="1:8" ht="13.15" customHeight="1" x14ac:dyDescent="0.25">
      <c r="A92" s="390" t="s">
        <v>468</v>
      </c>
      <c r="B92" s="390"/>
      <c r="C92" s="390"/>
      <c r="D92" s="390"/>
      <c r="E92" s="390"/>
      <c r="F92" s="390"/>
      <c r="G92" s="390"/>
      <c r="H92" s="390"/>
    </row>
    <row r="93" spans="1:8" ht="13.15" customHeight="1" x14ac:dyDescent="0.25">
      <c r="A93" s="398" t="s">
        <v>469</v>
      </c>
      <c r="B93" s="399"/>
      <c r="C93" s="400"/>
      <c r="D93" s="181" t="str">
        <f>IF(A66="","",IF(B66="",0,IF(D68="Yes",0,IF(D69="Yes",0,IF(D70&lt;(F66*0.1),0,IF(D73&lt;2,0,IF(D73&gt;8,0,IF(D74&lt;3,0,IF(D89&lt;0.005,0,IF(D89&gt;0.04,0,IF(D79&lt;D78,0,IF(D80&lt;F66,0,IF(D90&gt;5,0,IF(D91&lt;0.5,0,F66))))))))))))))</f>
        <v/>
      </c>
      <c r="E93" s="182" t="s">
        <v>2</v>
      </c>
      <c r="F93" s="440"/>
      <c r="G93" s="441"/>
      <c r="H93" s="441"/>
    </row>
    <row r="94" spans="1:8" ht="13.15" customHeight="1" x14ac:dyDescent="0.25">
      <c r="A94" s="161" t="s">
        <v>56</v>
      </c>
      <c r="B94" s="162" t="str">
        <f>IF('STEP 2-WQv Calculation'!$B$4="","",'STEP 2-WQv Calculation'!$B$4)</f>
        <v/>
      </c>
      <c r="C94" s="163"/>
      <c r="D94" s="163"/>
      <c r="E94" s="163"/>
      <c r="F94" s="163"/>
      <c r="G94" s="163"/>
      <c r="H94" s="163"/>
    </row>
    <row r="95" spans="1:8" ht="13.15" customHeight="1" x14ac:dyDescent="0.3">
      <c r="A95" s="360" t="s">
        <v>293</v>
      </c>
      <c r="B95" s="361"/>
      <c r="C95" s="361"/>
      <c r="D95" s="361"/>
      <c r="E95" s="361"/>
      <c r="F95" s="361"/>
      <c r="G95" s="361"/>
      <c r="H95" s="362"/>
    </row>
    <row r="96" spans="1:8" ht="39" customHeight="1" x14ac:dyDescent="0.25">
      <c r="A96" s="164" t="s">
        <v>60</v>
      </c>
      <c r="B96" s="165" t="s">
        <v>600</v>
      </c>
      <c r="C96" s="165" t="s">
        <v>601</v>
      </c>
      <c r="D96" s="165" t="s">
        <v>602</v>
      </c>
      <c r="E96" s="165" t="s">
        <v>64</v>
      </c>
      <c r="F96" s="165" t="s">
        <v>603</v>
      </c>
      <c r="G96" s="165" t="s">
        <v>604</v>
      </c>
      <c r="H96" s="166" t="s">
        <v>13</v>
      </c>
    </row>
    <row r="97" spans="1:8" ht="27" customHeight="1" x14ac:dyDescent="0.25">
      <c r="A97" s="178"/>
      <c r="B97" s="167" t="str">
        <f>IF($A97="","",(LOOKUP($A97,'STEP 2-WQv Calculation'!$A$8:$A$37,'STEP 2-WQv Calculation'!$B$8:$B$37)))</f>
        <v/>
      </c>
      <c r="C97" s="167" t="str">
        <f>IF($A97="","",(LOOKUP($A97,'STEP 2-WQv Calculation'!$A$8:$A$37,'STEP 2-WQv Calculation'!$C$8:$C$37)))</f>
        <v/>
      </c>
      <c r="D97" s="168" t="str">
        <f>IF($A97="","",(LOOKUP($A97,'STEP 2-WQv Calculation'!$A$8:$A$37,'STEP 2-WQv Calculation'!$D$8:$D$37)))</f>
        <v/>
      </c>
      <c r="E97" s="167" t="str">
        <f>IF($A97="","",(LOOKUP($A97,'STEP 2-WQv Calculation'!$A$8:$A$37,'STEP 2-WQv Calculation'!$E$8:$E$37)))</f>
        <v/>
      </c>
      <c r="F97" s="169" t="str">
        <f>IF($A97="","",(LOOKUP($A97,'STEP 2-WQv Calculation'!$A$8:$A$37,'STEP 2-WQv Calculation'!$F$8:$F$37)))</f>
        <v/>
      </c>
      <c r="G97" s="170">
        <f>'STEP 2-WQv Calculation'!$B$5</f>
        <v>0</v>
      </c>
      <c r="H97" s="171" t="str">
        <f>IF($A97="","",(LOOKUP($A97,'STEP 2-WQv Calculation'!$A$8:$A$37,'STEP 2-WQv Calculation'!$G$8:$G$37)))</f>
        <v/>
      </c>
    </row>
    <row r="98" spans="1:8" ht="13.15" customHeight="1" x14ac:dyDescent="0.3">
      <c r="A98" s="360" t="s">
        <v>226</v>
      </c>
      <c r="B98" s="361"/>
      <c r="C98" s="361"/>
      <c r="D98" s="361"/>
      <c r="E98" s="361"/>
      <c r="F98" s="361"/>
      <c r="G98" s="361"/>
      <c r="H98" s="362"/>
    </row>
    <row r="99" spans="1:8" ht="27" customHeight="1" x14ac:dyDescent="0.25">
      <c r="A99" s="242" t="s">
        <v>592</v>
      </c>
      <c r="B99" s="243"/>
      <c r="C99" s="244"/>
      <c r="D99" s="139"/>
      <c r="E99" s="322" t="str">
        <f>IF(D99="Yes","Does not meet design criteria","")</f>
        <v/>
      </c>
      <c r="F99" s="323"/>
      <c r="G99" s="323"/>
      <c r="H99" s="324"/>
    </row>
    <row r="100" spans="1:8" ht="12.75" customHeight="1" x14ac:dyDescent="0.25">
      <c r="A100" s="242" t="s">
        <v>326</v>
      </c>
      <c r="B100" s="243"/>
      <c r="C100" s="244"/>
      <c r="D100" s="135" t="str">
        <f>IF(B97="","",IF(B97&gt;5,"Yes","No"))</f>
        <v/>
      </c>
      <c r="E100" s="322" t="str">
        <f>IF(D100="Yes","Does not meet design criteria","")</f>
        <v/>
      </c>
      <c r="F100" s="323"/>
      <c r="G100" s="323"/>
      <c r="H100" s="324"/>
    </row>
    <row r="101" spans="1:8" ht="12.75" customHeight="1" x14ac:dyDescent="0.25">
      <c r="A101" s="242" t="s">
        <v>507</v>
      </c>
      <c r="B101" s="243"/>
      <c r="C101" s="244"/>
      <c r="D101" s="139"/>
      <c r="E101" s="322" t="str">
        <f>IF(D101="","",IF(D101&lt;(F97*0.1),"Does not meet design crtieria",""))</f>
        <v/>
      </c>
      <c r="F101" s="323"/>
      <c r="G101" s="323"/>
      <c r="H101" s="324"/>
    </row>
    <row r="102" spans="1:8" ht="13.15" customHeight="1" x14ac:dyDescent="0.3">
      <c r="A102" s="433" t="s">
        <v>232</v>
      </c>
      <c r="B102" s="434"/>
      <c r="C102" s="434"/>
      <c r="D102" s="361"/>
      <c r="E102" s="361"/>
      <c r="F102" s="361"/>
      <c r="G102" s="361"/>
      <c r="H102" s="362"/>
    </row>
    <row r="103" spans="1:8" ht="13" x14ac:dyDescent="0.3">
      <c r="A103" s="346"/>
      <c r="B103" s="347"/>
      <c r="C103" s="348"/>
      <c r="D103" s="47" t="s">
        <v>256</v>
      </c>
      <c r="E103" s="48" t="s">
        <v>257</v>
      </c>
      <c r="F103" s="349" t="s">
        <v>258</v>
      </c>
      <c r="G103" s="350"/>
      <c r="H103" s="351"/>
    </row>
    <row r="104" spans="1:8" ht="12.75" customHeight="1" x14ac:dyDescent="0.25">
      <c r="A104" s="289" t="s">
        <v>331</v>
      </c>
      <c r="B104" s="289"/>
      <c r="C104" s="159" t="s">
        <v>332</v>
      </c>
      <c r="D104" s="140"/>
      <c r="E104" s="193" t="s">
        <v>271</v>
      </c>
      <c r="F104" s="345" t="str">
        <f>IF(D104="","",IF(D104&lt;2,"Does not meet design criteria",IF(D104&gt;8,"Does not meet design criteria","")))</f>
        <v/>
      </c>
      <c r="G104" s="345"/>
      <c r="H104" s="345"/>
    </row>
    <row r="105" spans="1:8" ht="12.75" customHeight="1" x14ac:dyDescent="0.25">
      <c r="A105" s="289" t="s">
        <v>606</v>
      </c>
      <c r="B105" s="289"/>
      <c r="C105" s="159" t="s">
        <v>336</v>
      </c>
      <c r="D105" s="179"/>
      <c r="E105" s="193" t="s">
        <v>337</v>
      </c>
      <c r="F105" s="345" t="str">
        <f>IF(D105="","",IF(D105&lt;3,"Does not meet design criteria",""))</f>
        <v/>
      </c>
      <c r="G105" s="345"/>
      <c r="H105" s="345"/>
    </row>
    <row r="106" spans="1:8" ht="12.75" customHeight="1" x14ac:dyDescent="0.25">
      <c r="A106" s="289" t="s">
        <v>333</v>
      </c>
      <c r="B106" s="289"/>
      <c r="C106" s="159" t="s">
        <v>334</v>
      </c>
      <c r="D106" s="179"/>
      <c r="E106" s="193" t="s">
        <v>271</v>
      </c>
      <c r="F106" s="345"/>
      <c r="G106" s="345"/>
      <c r="H106" s="345"/>
    </row>
    <row r="107" spans="1:8" ht="12.75" customHeight="1" x14ac:dyDescent="0.25">
      <c r="A107" s="289" t="s">
        <v>338</v>
      </c>
      <c r="B107" s="289"/>
      <c r="C107" s="159" t="s">
        <v>339</v>
      </c>
      <c r="D107" s="160">
        <f>D104+(2*D105)*D106</f>
        <v>0</v>
      </c>
      <c r="E107" s="193" t="s">
        <v>271</v>
      </c>
      <c r="F107" s="345"/>
      <c r="G107" s="345"/>
      <c r="H107" s="345"/>
    </row>
    <row r="108" spans="1:8" ht="12.75" customHeight="1" x14ac:dyDescent="0.25">
      <c r="A108" s="289" t="s">
        <v>607</v>
      </c>
      <c r="B108" s="289"/>
      <c r="C108" s="159" t="s">
        <v>343</v>
      </c>
      <c r="D108" s="173">
        <f>(D107+D104)*D106/2</f>
        <v>0</v>
      </c>
      <c r="E108" s="193" t="s">
        <v>316</v>
      </c>
      <c r="F108" s="345"/>
      <c r="G108" s="345"/>
      <c r="H108" s="345"/>
    </row>
    <row r="109" spans="1:8" ht="12.75" customHeight="1" x14ac:dyDescent="0.25">
      <c r="A109" s="289" t="s">
        <v>608</v>
      </c>
      <c r="B109" s="289"/>
      <c r="C109" s="159" t="s">
        <v>349</v>
      </c>
      <c r="D109" s="173" t="e">
        <f>IF(D107="","",ROUNDUP(F97/D108,0))</f>
        <v>#VALUE!</v>
      </c>
      <c r="E109" s="193" t="s">
        <v>271</v>
      </c>
      <c r="F109" s="345"/>
      <c r="G109" s="345"/>
      <c r="H109" s="345"/>
    </row>
    <row r="110" spans="1:8" ht="12.75" customHeight="1" x14ac:dyDescent="0.25">
      <c r="A110" s="289" t="s">
        <v>609</v>
      </c>
      <c r="B110" s="289"/>
      <c r="C110" s="159" t="s">
        <v>351</v>
      </c>
      <c r="D110" s="140"/>
      <c r="E110" s="193" t="s">
        <v>271</v>
      </c>
      <c r="F110" s="345" t="str">
        <f>IF(D110="","",IF(D110&lt;D109,"Does not meet design criteria",""))</f>
        <v/>
      </c>
      <c r="G110" s="345"/>
      <c r="H110" s="345"/>
    </row>
    <row r="111" spans="1:8" ht="12.75" customHeight="1" x14ac:dyDescent="0.25">
      <c r="A111" s="289" t="s">
        <v>610</v>
      </c>
      <c r="B111" s="289"/>
      <c r="C111" s="159" t="s">
        <v>611</v>
      </c>
      <c r="D111" s="174">
        <f>IF(D108="","",D108*D110)</f>
        <v>0</v>
      </c>
      <c r="E111" s="193" t="s">
        <v>2</v>
      </c>
      <c r="F111" s="345" t="str">
        <f>IF(D107="","",IF(D111&lt;D107,"Does not meet sizing criteria",""))</f>
        <v/>
      </c>
      <c r="G111" s="345"/>
      <c r="H111" s="345"/>
    </row>
    <row r="112" spans="1:8" ht="12.75" customHeight="1" x14ac:dyDescent="0.25">
      <c r="A112" s="289" t="s">
        <v>354</v>
      </c>
      <c r="B112" s="289"/>
      <c r="C112" s="159" t="s">
        <v>355</v>
      </c>
      <c r="D112" s="140"/>
      <c r="E112" s="193" t="s">
        <v>271</v>
      </c>
      <c r="F112" s="345" t="str">
        <f>IF(D112="","",IF(D112&gt;1,"Does not meet design criteria",""))</f>
        <v/>
      </c>
      <c r="G112" s="345"/>
      <c r="H112" s="345"/>
    </row>
    <row r="113" spans="1:8" ht="12.75" customHeight="1" x14ac:dyDescent="0.25">
      <c r="A113" s="266" t="s">
        <v>356</v>
      </c>
      <c r="B113" s="268"/>
      <c r="C113" s="159" t="s">
        <v>357</v>
      </c>
      <c r="D113" s="62" t="str">
        <f>IF(D112="","",ROUNDUP(D112/D120,0))</f>
        <v/>
      </c>
      <c r="E113" s="193" t="s">
        <v>271</v>
      </c>
      <c r="F113" s="435"/>
      <c r="G113" s="436"/>
      <c r="H113" s="437"/>
    </row>
    <row r="114" spans="1:8" ht="12.75" customHeight="1" x14ac:dyDescent="0.25">
      <c r="A114" s="289" t="s">
        <v>358</v>
      </c>
      <c r="B114" s="289"/>
      <c r="C114" s="159" t="s">
        <v>217</v>
      </c>
      <c r="D114" s="62" t="str">
        <f>IF(D113="","",ROUNDUP(D110/D113,0))</f>
        <v/>
      </c>
      <c r="E114" s="193"/>
      <c r="F114" s="345"/>
      <c r="G114" s="345"/>
      <c r="H114" s="345"/>
    </row>
    <row r="115" spans="1:8" ht="12.75" customHeight="1" x14ac:dyDescent="0.25">
      <c r="A115" s="289" t="s">
        <v>612</v>
      </c>
      <c r="B115" s="289"/>
      <c r="C115" s="159" t="s">
        <v>613</v>
      </c>
      <c r="D115" s="179"/>
      <c r="E115" s="193" t="s">
        <v>271</v>
      </c>
      <c r="F115" s="345"/>
      <c r="G115" s="345"/>
      <c r="H115" s="345"/>
    </row>
    <row r="116" spans="1:8" ht="12.75" customHeight="1" x14ac:dyDescent="0.25">
      <c r="A116" s="289" t="s">
        <v>614</v>
      </c>
      <c r="B116" s="289"/>
      <c r="C116" s="159" t="s">
        <v>615</v>
      </c>
      <c r="D116" s="160">
        <f>D104+(2*D105)*D115</f>
        <v>0</v>
      </c>
      <c r="E116" s="193" t="s">
        <v>271</v>
      </c>
      <c r="F116" s="345"/>
      <c r="G116" s="345"/>
      <c r="H116" s="345"/>
    </row>
    <row r="117" spans="1:8" ht="12.75" customHeight="1" x14ac:dyDescent="0.25">
      <c r="A117" s="289" t="s">
        <v>616</v>
      </c>
      <c r="B117" s="289"/>
      <c r="C117" s="159" t="s">
        <v>617</v>
      </c>
      <c r="D117" s="173">
        <f>(D115*(D104+D116))/2</f>
        <v>0</v>
      </c>
      <c r="E117" s="193" t="s">
        <v>316</v>
      </c>
      <c r="F117" s="345"/>
      <c r="G117" s="345"/>
      <c r="H117" s="345"/>
    </row>
    <row r="118" spans="1:8" ht="12.75" customHeight="1" x14ac:dyDescent="0.25">
      <c r="A118" s="289" t="s">
        <v>618</v>
      </c>
      <c r="B118" s="289"/>
      <c r="C118" s="159" t="s">
        <v>619</v>
      </c>
      <c r="D118" s="173">
        <f>D104+((D115^2)+((D105*D115)^2)^0.5)*2</f>
        <v>0</v>
      </c>
      <c r="E118" s="193" t="s">
        <v>271</v>
      </c>
      <c r="F118" s="345"/>
      <c r="G118" s="345"/>
      <c r="H118" s="345"/>
    </row>
    <row r="119" spans="1:8" ht="12.75" customHeight="1" x14ac:dyDescent="0.25">
      <c r="A119" s="289" t="s">
        <v>620</v>
      </c>
      <c r="B119" s="289"/>
      <c r="C119" s="159" t="s">
        <v>268</v>
      </c>
      <c r="D119" s="180"/>
      <c r="E119" s="193"/>
      <c r="F119" s="345"/>
      <c r="G119" s="345"/>
      <c r="H119" s="345"/>
    </row>
    <row r="120" spans="1:8" ht="12.75" customHeight="1" x14ac:dyDescent="0.25">
      <c r="A120" s="289" t="s">
        <v>621</v>
      </c>
      <c r="B120" s="289"/>
      <c r="C120" s="159" t="s">
        <v>214</v>
      </c>
      <c r="D120" s="180"/>
      <c r="E120" s="193" t="s">
        <v>266</v>
      </c>
      <c r="F120" s="345" t="str">
        <f>IF(D120="","",IF(D120&lt;0.005,"Does not meet design criteria",IF(D120&gt;0.04,"Does not meet design criteria","")))</f>
        <v/>
      </c>
      <c r="G120" s="345"/>
      <c r="H120" s="345"/>
    </row>
    <row r="121" spans="1:8" ht="13.15" customHeight="1" x14ac:dyDescent="0.25">
      <c r="A121" s="289" t="s">
        <v>622</v>
      </c>
      <c r="B121" s="289"/>
      <c r="C121" s="159" t="s">
        <v>345</v>
      </c>
      <c r="D121" s="173" t="str">
        <f>IF(D120="","",ROUNDUP((1.49/D119)*((D117/D118)^(2/3))*(D120^(1/2)),2))</f>
        <v/>
      </c>
      <c r="E121" s="193" t="s">
        <v>346</v>
      </c>
      <c r="F121" s="345" t="str">
        <f>IF(D120="","",IF(D121&gt;5,"Does not meet design criteria",""))</f>
        <v/>
      </c>
      <c r="G121" s="345"/>
      <c r="H121" s="345"/>
    </row>
    <row r="122" spans="1:8" ht="13.15" customHeight="1" x14ac:dyDescent="0.25">
      <c r="A122" s="289" t="s">
        <v>623</v>
      </c>
      <c r="B122" s="289"/>
      <c r="C122" s="159"/>
      <c r="D122" s="140"/>
      <c r="E122" s="193" t="s">
        <v>271</v>
      </c>
      <c r="F122" s="345" t="str">
        <f>IF(D122="","",IF(D122&lt;0.5,"Does not meet design criteria",""))</f>
        <v/>
      </c>
      <c r="G122" s="345"/>
      <c r="H122" s="345"/>
    </row>
    <row r="123" spans="1:8" ht="13.15" customHeight="1" x14ac:dyDescent="0.25">
      <c r="A123" s="390" t="s">
        <v>468</v>
      </c>
      <c r="B123" s="390"/>
      <c r="C123" s="390"/>
      <c r="D123" s="390"/>
      <c r="E123" s="390"/>
      <c r="F123" s="390"/>
      <c r="G123" s="390"/>
      <c r="H123" s="390"/>
    </row>
    <row r="124" spans="1:8" ht="13.15" customHeight="1" x14ac:dyDescent="0.25">
      <c r="A124" s="398" t="s">
        <v>469</v>
      </c>
      <c r="B124" s="399"/>
      <c r="C124" s="400"/>
      <c r="D124" s="181" t="str">
        <f>IF(A97="","",IF(B97="",0,IF(D99="Yes",0,IF(D100="Yes",0,IF(D101&lt;(F97*0.1),0,IF(D104&lt;2,0,IF(D104&gt;8,0,IF(D105&lt;3,0,IF(D120&lt;0.005,0,IF(D120&gt;0.04,0,IF(D110&lt;D109,0,IF(D111&lt;F97,0,IF(D121&gt;5,0,IF(D122&lt;0.5,0,F97))))))))))))))</f>
        <v/>
      </c>
      <c r="E124" s="182" t="s">
        <v>2</v>
      </c>
      <c r="F124" s="440"/>
      <c r="G124" s="441"/>
      <c r="H124" s="441"/>
    </row>
    <row r="125" spans="1:8" ht="13.15" customHeight="1" x14ac:dyDescent="0.25">
      <c r="A125" s="161" t="s">
        <v>56</v>
      </c>
      <c r="B125" s="162" t="str">
        <f>IF('STEP 2-WQv Calculation'!$B$4="","",'STEP 2-WQv Calculation'!$B$4)</f>
        <v/>
      </c>
      <c r="C125" s="163"/>
      <c r="D125" s="163"/>
      <c r="E125" s="163"/>
      <c r="F125" s="163"/>
      <c r="G125" s="163"/>
      <c r="H125" s="163"/>
    </row>
    <row r="126" spans="1:8" ht="13.15" customHeight="1" x14ac:dyDescent="0.3">
      <c r="A126" s="360" t="s">
        <v>293</v>
      </c>
      <c r="B126" s="361"/>
      <c r="C126" s="361"/>
      <c r="D126" s="361"/>
      <c r="E126" s="361"/>
      <c r="F126" s="361"/>
      <c r="G126" s="361"/>
      <c r="H126" s="362"/>
    </row>
    <row r="127" spans="1:8" ht="39" customHeight="1" x14ac:dyDescent="0.25">
      <c r="A127" s="164" t="s">
        <v>60</v>
      </c>
      <c r="B127" s="165" t="s">
        <v>600</v>
      </c>
      <c r="C127" s="165" t="s">
        <v>601</v>
      </c>
      <c r="D127" s="165" t="s">
        <v>602</v>
      </c>
      <c r="E127" s="165" t="s">
        <v>64</v>
      </c>
      <c r="F127" s="165" t="s">
        <v>603</v>
      </c>
      <c r="G127" s="165" t="s">
        <v>604</v>
      </c>
      <c r="H127" s="166" t="s">
        <v>13</v>
      </c>
    </row>
    <row r="128" spans="1:8" ht="26.25" customHeight="1" x14ac:dyDescent="0.25">
      <c r="A128" s="178"/>
      <c r="B128" s="167" t="str">
        <f>IF($A128="","",(LOOKUP($A128,'STEP 2-WQv Calculation'!$A$8:$A$37,'STEP 2-WQv Calculation'!$B$8:$B$37)))</f>
        <v/>
      </c>
      <c r="C128" s="167" t="str">
        <f>IF($A128="","",(LOOKUP($A128,'STEP 2-WQv Calculation'!$A$8:$A$37,'STEP 2-WQv Calculation'!$C$8:$C$37)))</f>
        <v/>
      </c>
      <c r="D128" s="168" t="str">
        <f>IF($A128="","",(LOOKUP($A128,'STEP 2-WQv Calculation'!$A$8:$A$37,'STEP 2-WQv Calculation'!$D$8:$D$37)))</f>
        <v/>
      </c>
      <c r="E128" s="167" t="str">
        <f>IF($A128="","",(LOOKUP($A128,'STEP 2-WQv Calculation'!$A$8:$A$37,'STEP 2-WQv Calculation'!$E$8:$E$37)))</f>
        <v/>
      </c>
      <c r="F128" s="169" t="str">
        <f>IF($A128="","",(LOOKUP($A128,'STEP 2-WQv Calculation'!$A$8:$A$37,'STEP 2-WQv Calculation'!$F$8:$F$37)))</f>
        <v/>
      </c>
      <c r="G128" s="170">
        <f>'STEP 2-WQv Calculation'!$B$5</f>
        <v>0</v>
      </c>
      <c r="H128" s="171" t="str">
        <f>IF($A128="","",(LOOKUP($A128,'STEP 2-WQv Calculation'!$A$8:$A$37,'STEP 2-WQv Calculation'!$G$8:$G$37)))</f>
        <v/>
      </c>
    </row>
    <row r="129" spans="1:8" ht="13.15" customHeight="1" x14ac:dyDescent="0.3">
      <c r="A129" s="360" t="s">
        <v>226</v>
      </c>
      <c r="B129" s="361"/>
      <c r="C129" s="361"/>
      <c r="D129" s="361"/>
      <c r="E129" s="361"/>
      <c r="F129" s="361"/>
      <c r="G129" s="361"/>
      <c r="H129" s="362"/>
    </row>
    <row r="130" spans="1:8" ht="26.25" customHeight="1" x14ac:dyDescent="0.25">
      <c r="A130" s="242" t="s">
        <v>592</v>
      </c>
      <c r="B130" s="243"/>
      <c r="C130" s="244"/>
      <c r="D130" s="139"/>
      <c r="E130" s="322" t="str">
        <f>IF(D130="Yes","Does not meet design criteria","")</f>
        <v/>
      </c>
      <c r="F130" s="323"/>
      <c r="G130" s="323"/>
      <c r="H130" s="324"/>
    </row>
    <row r="131" spans="1:8" ht="12.75" customHeight="1" x14ac:dyDescent="0.25">
      <c r="A131" s="242" t="s">
        <v>326</v>
      </c>
      <c r="B131" s="243"/>
      <c r="C131" s="244"/>
      <c r="D131" s="135" t="str">
        <f>IF(B128="","",IF(B128&gt;5,"Yes","No"))</f>
        <v/>
      </c>
      <c r="E131" s="322" t="str">
        <f>IF(D131="Yes","Does not meet design criteria","")</f>
        <v/>
      </c>
      <c r="F131" s="323"/>
      <c r="G131" s="323"/>
      <c r="H131" s="324"/>
    </row>
    <row r="132" spans="1:8" ht="12.75" customHeight="1" x14ac:dyDescent="0.25">
      <c r="A132" s="242" t="s">
        <v>507</v>
      </c>
      <c r="B132" s="243"/>
      <c r="C132" s="244"/>
      <c r="D132" s="139"/>
      <c r="E132" s="322" t="str">
        <f>IF(D132="","",IF(D132&lt;(F128*0.1),"Does not meet design crtieria",""))</f>
        <v/>
      </c>
      <c r="F132" s="323"/>
      <c r="G132" s="323"/>
      <c r="H132" s="324"/>
    </row>
    <row r="133" spans="1:8" ht="13.15" customHeight="1" x14ac:dyDescent="0.3">
      <c r="A133" s="433" t="s">
        <v>232</v>
      </c>
      <c r="B133" s="434"/>
      <c r="C133" s="434"/>
      <c r="D133" s="361"/>
      <c r="E133" s="361"/>
      <c r="F133" s="361"/>
      <c r="G133" s="361"/>
      <c r="H133" s="362"/>
    </row>
    <row r="134" spans="1:8" ht="13" x14ac:dyDescent="0.3">
      <c r="A134" s="346"/>
      <c r="B134" s="347"/>
      <c r="C134" s="348"/>
      <c r="D134" s="47" t="s">
        <v>256</v>
      </c>
      <c r="E134" s="48" t="s">
        <v>257</v>
      </c>
      <c r="F134" s="349" t="s">
        <v>258</v>
      </c>
      <c r="G134" s="350"/>
      <c r="H134" s="351"/>
    </row>
    <row r="135" spans="1:8" ht="12.75" customHeight="1" x14ac:dyDescent="0.25">
      <c r="A135" s="289" t="s">
        <v>331</v>
      </c>
      <c r="B135" s="289"/>
      <c r="C135" s="159" t="s">
        <v>332</v>
      </c>
      <c r="D135" s="140"/>
      <c r="E135" s="193" t="s">
        <v>271</v>
      </c>
      <c r="F135" s="345" t="str">
        <f>IF(D135="","",IF(D135&lt;2,"Does not meet design criteria",IF(D135&gt;8,"Does not meet design criteria","")))</f>
        <v/>
      </c>
      <c r="G135" s="345"/>
      <c r="H135" s="345"/>
    </row>
    <row r="136" spans="1:8" ht="12.75" customHeight="1" x14ac:dyDescent="0.25">
      <c r="A136" s="289" t="s">
        <v>606</v>
      </c>
      <c r="B136" s="289"/>
      <c r="C136" s="159" t="s">
        <v>336</v>
      </c>
      <c r="D136" s="179"/>
      <c r="E136" s="193" t="s">
        <v>337</v>
      </c>
      <c r="F136" s="345" t="str">
        <f>IF(D136="","",IF(D136&lt;3,"Does not meet design criteria",""))</f>
        <v/>
      </c>
      <c r="G136" s="345"/>
      <c r="H136" s="345"/>
    </row>
    <row r="137" spans="1:8" ht="12.75" customHeight="1" x14ac:dyDescent="0.25">
      <c r="A137" s="289" t="s">
        <v>333</v>
      </c>
      <c r="B137" s="289"/>
      <c r="C137" s="159" t="s">
        <v>334</v>
      </c>
      <c r="D137" s="179"/>
      <c r="E137" s="193" t="s">
        <v>271</v>
      </c>
      <c r="F137" s="345"/>
      <c r="G137" s="345"/>
      <c r="H137" s="345"/>
    </row>
    <row r="138" spans="1:8" ht="12.75" customHeight="1" x14ac:dyDescent="0.25">
      <c r="A138" s="289" t="s">
        <v>338</v>
      </c>
      <c r="B138" s="289"/>
      <c r="C138" s="159" t="s">
        <v>339</v>
      </c>
      <c r="D138" s="160">
        <f>D135+(2*D136)*D137</f>
        <v>0</v>
      </c>
      <c r="E138" s="193" t="s">
        <v>271</v>
      </c>
      <c r="F138" s="345"/>
      <c r="G138" s="345"/>
      <c r="H138" s="345"/>
    </row>
    <row r="139" spans="1:8" ht="12.75" customHeight="1" x14ac:dyDescent="0.25">
      <c r="A139" s="289" t="s">
        <v>607</v>
      </c>
      <c r="B139" s="289"/>
      <c r="C139" s="159" t="s">
        <v>343</v>
      </c>
      <c r="D139" s="173">
        <f>(D138+D135)*D137/2</f>
        <v>0</v>
      </c>
      <c r="E139" s="193" t="s">
        <v>316</v>
      </c>
      <c r="F139" s="345"/>
      <c r="G139" s="345"/>
      <c r="H139" s="345"/>
    </row>
    <row r="140" spans="1:8" ht="12.75" customHeight="1" x14ac:dyDescent="0.25">
      <c r="A140" s="289" t="s">
        <v>608</v>
      </c>
      <c r="B140" s="289"/>
      <c r="C140" s="159" t="s">
        <v>349</v>
      </c>
      <c r="D140" s="173" t="e">
        <f>IF(D138="","",ROUNDUP(F128/D139,0))</f>
        <v>#VALUE!</v>
      </c>
      <c r="E140" s="193" t="s">
        <v>271</v>
      </c>
      <c r="F140" s="345"/>
      <c r="G140" s="345"/>
      <c r="H140" s="345"/>
    </row>
    <row r="141" spans="1:8" ht="12.75" customHeight="1" x14ac:dyDescent="0.25">
      <c r="A141" s="289" t="s">
        <v>609</v>
      </c>
      <c r="B141" s="289"/>
      <c r="C141" s="159" t="s">
        <v>351</v>
      </c>
      <c r="D141" s="140"/>
      <c r="E141" s="193" t="s">
        <v>271</v>
      </c>
      <c r="F141" s="345" t="str">
        <f>IF(D141="","",IF(D141&lt;D140,"Does not meet design criteria",""))</f>
        <v/>
      </c>
      <c r="G141" s="345"/>
      <c r="H141" s="345"/>
    </row>
    <row r="142" spans="1:8" ht="12.75" customHeight="1" x14ac:dyDescent="0.25">
      <c r="A142" s="289" t="s">
        <v>610</v>
      </c>
      <c r="B142" s="289"/>
      <c r="C142" s="159" t="s">
        <v>611</v>
      </c>
      <c r="D142" s="174">
        <f>IF(D139="","",D139*D141)</f>
        <v>0</v>
      </c>
      <c r="E142" s="193" t="s">
        <v>2</v>
      </c>
      <c r="F142" s="345" t="str">
        <f>IF(D138="","",IF(D142&lt;D138,"Does not meet sizing criteria",""))</f>
        <v/>
      </c>
      <c r="G142" s="345"/>
      <c r="H142" s="345"/>
    </row>
    <row r="143" spans="1:8" ht="12.75" customHeight="1" x14ac:dyDescent="0.25">
      <c r="A143" s="289" t="s">
        <v>354</v>
      </c>
      <c r="B143" s="289"/>
      <c r="C143" s="159" t="s">
        <v>355</v>
      </c>
      <c r="D143" s="140"/>
      <c r="E143" s="193" t="s">
        <v>271</v>
      </c>
      <c r="F143" s="345" t="str">
        <f>IF(D143="","",IF(D143&gt;1,"Does not meet design criteria",""))</f>
        <v/>
      </c>
      <c r="G143" s="345"/>
      <c r="H143" s="345"/>
    </row>
    <row r="144" spans="1:8" ht="12.75" customHeight="1" x14ac:dyDescent="0.25">
      <c r="A144" s="266" t="s">
        <v>356</v>
      </c>
      <c r="B144" s="268"/>
      <c r="C144" s="159" t="s">
        <v>357</v>
      </c>
      <c r="D144" s="62" t="str">
        <f>IF(D143="","",ROUNDUP(D143/D151,0))</f>
        <v/>
      </c>
      <c r="E144" s="193" t="s">
        <v>271</v>
      </c>
      <c r="F144" s="435"/>
      <c r="G144" s="436"/>
      <c r="H144" s="437"/>
    </row>
    <row r="145" spans="1:8" ht="12.75" customHeight="1" x14ac:dyDescent="0.25">
      <c r="A145" s="289" t="s">
        <v>358</v>
      </c>
      <c r="B145" s="289"/>
      <c r="C145" s="159" t="s">
        <v>217</v>
      </c>
      <c r="D145" s="62" t="str">
        <f>IF(D144="","",ROUNDUP(D141/D144,0))</f>
        <v/>
      </c>
      <c r="E145" s="193"/>
      <c r="F145" s="345"/>
      <c r="G145" s="345"/>
      <c r="H145" s="345"/>
    </row>
    <row r="146" spans="1:8" ht="12.75" customHeight="1" x14ac:dyDescent="0.25">
      <c r="A146" s="289" t="s">
        <v>612</v>
      </c>
      <c r="B146" s="289"/>
      <c r="C146" s="159" t="s">
        <v>613</v>
      </c>
      <c r="D146" s="179"/>
      <c r="E146" s="193" t="s">
        <v>271</v>
      </c>
      <c r="F146" s="345"/>
      <c r="G146" s="345"/>
      <c r="H146" s="345"/>
    </row>
    <row r="147" spans="1:8" ht="12.75" customHeight="1" x14ac:dyDescent="0.25">
      <c r="A147" s="289" t="s">
        <v>614</v>
      </c>
      <c r="B147" s="289"/>
      <c r="C147" s="159" t="s">
        <v>615</v>
      </c>
      <c r="D147" s="160">
        <f>D135+(2*D136)*D146</f>
        <v>0</v>
      </c>
      <c r="E147" s="193" t="s">
        <v>271</v>
      </c>
      <c r="F147" s="345"/>
      <c r="G147" s="345"/>
      <c r="H147" s="345"/>
    </row>
    <row r="148" spans="1:8" ht="12.75" customHeight="1" x14ac:dyDescent="0.25">
      <c r="A148" s="289" t="s">
        <v>616</v>
      </c>
      <c r="B148" s="289"/>
      <c r="C148" s="159" t="s">
        <v>617</v>
      </c>
      <c r="D148" s="173">
        <f>(D146*(D135+D147))/2</f>
        <v>0</v>
      </c>
      <c r="E148" s="193" t="s">
        <v>316</v>
      </c>
      <c r="F148" s="345"/>
      <c r="G148" s="345"/>
      <c r="H148" s="345"/>
    </row>
    <row r="149" spans="1:8" ht="12.75" customHeight="1" x14ac:dyDescent="0.25">
      <c r="A149" s="289" t="s">
        <v>618</v>
      </c>
      <c r="B149" s="289"/>
      <c r="C149" s="159" t="s">
        <v>619</v>
      </c>
      <c r="D149" s="173">
        <f>D135+((D146^2)+((D136*D146)^2)^0.5)*2</f>
        <v>0</v>
      </c>
      <c r="E149" s="193" t="s">
        <v>271</v>
      </c>
      <c r="F149" s="345"/>
      <c r="G149" s="345"/>
      <c r="H149" s="345"/>
    </row>
    <row r="150" spans="1:8" ht="12.75" customHeight="1" x14ac:dyDescent="0.25">
      <c r="A150" s="289" t="s">
        <v>620</v>
      </c>
      <c r="B150" s="289"/>
      <c r="C150" s="159" t="s">
        <v>268</v>
      </c>
      <c r="D150" s="180"/>
      <c r="E150" s="193"/>
      <c r="F150" s="345"/>
      <c r="G150" s="345"/>
      <c r="H150" s="345"/>
    </row>
    <row r="151" spans="1:8" ht="12.75" customHeight="1" x14ac:dyDescent="0.25">
      <c r="A151" s="289" t="s">
        <v>621</v>
      </c>
      <c r="B151" s="289"/>
      <c r="C151" s="159" t="s">
        <v>214</v>
      </c>
      <c r="D151" s="180"/>
      <c r="E151" s="193" t="s">
        <v>266</v>
      </c>
      <c r="F151" s="345" t="str">
        <f>IF(D151="","",IF(D151&lt;0.005,"Does not meet design criteria",IF(D151&gt;0.04,"Does not meet design criteria","")))</f>
        <v/>
      </c>
      <c r="G151" s="345"/>
      <c r="H151" s="345"/>
    </row>
    <row r="152" spans="1:8" x14ac:dyDescent="0.25">
      <c r="A152" s="289" t="s">
        <v>622</v>
      </c>
      <c r="B152" s="289"/>
      <c r="C152" s="159" t="s">
        <v>345</v>
      </c>
      <c r="D152" s="173" t="str">
        <f>IF(D151="","",ROUNDUP((1.49/D150)*((D148/D149)^(2/3))*(D151^(1/2)),2))</f>
        <v/>
      </c>
      <c r="E152" s="193" t="s">
        <v>346</v>
      </c>
      <c r="F152" s="345" t="str">
        <f>IF(D151="","",IF(D152&gt;5,"Does not meet design criteria",""))</f>
        <v/>
      </c>
      <c r="G152" s="345"/>
      <c r="H152" s="345"/>
    </row>
    <row r="153" spans="1:8" ht="12.75" customHeight="1" x14ac:dyDescent="0.25">
      <c r="A153" s="289" t="s">
        <v>623</v>
      </c>
      <c r="B153" s="289"/>
      <c r="C153" s="159"/>
      <c r="D153" s="140"/>
      <c r="E153" s="193" t="s">
        <v>271</v>
      </c>
      <c r="F153" s="345" t="str">
        <f>IF(D153="","",IF(D153&lt;0.5,"Does not meet design criteria",""))</f>
        <v/>
      </c>
      <c r="G153" s="345"/>
      <c r="H153" s="345"/>
    </row>
    <row r="154" spans="1:8" ht="13.15" customHeight="1" x14ac:dyDescent="0.25">
      <c r="A154" s="390" t="s">
        <v>468</v>
      </c>
      <c r="B154" s="390"/>
      <c r="C154" s="390"/>
      <c r="D154" s="390"/>
      <c r="E154" s="390"/>
      <c r="F154" s="390"/>
      <c r="G154" s="390"/>
      <c r="H154" s="390"/>
    </row>
    <row r="155" spans="1:8" ht="13.15" customHeight="1" x14ac:dyDescent="0.25">
      <c r="A155" s="398" t="s">
        <v>469</v>
      </c>
      <c r="B155" s="399"/>
      <c r="C155" s="400"/>
      <c r="D155" s="181" t="str">
        <f>IF(A128="","",IF(B128="",0,IF(D130="Yes",0,IF(D131="Yes",0,IF(D132&lt;(F128*0.1),0,IF(D135&lt;2,0,IF(D135&gt;8,0,IF(D136&lt;3,0,IF(D151&lt;0.005,0,IF(D151&gt;0.04,0,IF(D141&lt;D140,0,IF(D142&lt;F128,0,IF(D152&gt;5,0,IF(D153&lt;0.5,0,F128))))))))))))))</f>
        <v/>
      </c>
      <c r="E155" s="182" t="s">
        <v>2</v>
      </c>
      <c r="F155" s="440"/>
      <c r="G155" s="441"/>
      <c r="H155" s="441"/>
    </row>
    <row r="156" spans="1:8" ht="13" x14ac:dyDescent="0.25">
      <c r="A156" s="161" t="s">
        <v>56</v>
      </c>
      <c r="B156" s="162" t="str">
        <f>IF('STEP 2-WQv Calculation'!$B$4="","",'STEP 2-WQv Calculation'!$B$4)</f>
        <v/>
      </c>
      <c r="C156" s="163"/>
      <c r="D156" s="163"/>
      <c r="E156" s="163"/>
      <c r="F156" s="163"/>
      <c r="G156" s="163"/>
      <c r="H156" s="163"/>
    </row>
    <row r="157" spans="1:8" ht="13" x14ac:dyDescent="0.3">
      <c r="A157" s="360" t="s">
        <v>293</v>
      </c>
      <c r="B157" s="361"/>
      <c r="C157" s="361"/>
      <c r="D157" s="361"/>
      <c r="E157" s="361"/>
      <c r="F157" s="361"/>
      <c r="G157" s="361"/>
      <c r="H157" s="362"/>
    </row>
    <row r="158" spans="1:8" ht="38.5" x14ac:dyDescent="0.25">
      <c r="A158" s="164" t="s">
        <v>60</v>
      </c>
      <c r="B158" s="165" t="s">
        <v>600</v>
      </c>
      <c r="C158" s="165" t="s">
        <v>601</v>
      </c>
      <c r="D158" s="165" t="s">
        <v>602</v>
      </c>
      <c r="E158" s="165" t="s">
        <v>64</v>
      </c>
      <c r="F158" s="165" t="s">
        <v>603</v>
      </c>
      <c r="G158" s="165" t="s">
        <v>604</v>
      </c>
      <c r="H158" s="166" t="s">
        <v>13</v>
      </c>
    </row>
    <row r="159" spans="1:8" x14ac:dyDescent="0.25">
      <c r="A159" s="178"/>
      <c r="B159" s="167" t="str">
        <f>IF($A159="","",(LOOKUP($A159,'STEP 2-WQv Calculation'!$A$8:$A$37,'STEP 2-WQv Calculation'!$B$8:$B$37)))</f>
        <v/>
      </c>
      <c r="C159" s="167" t="str">
        <f>IF($A159="","",(LOOKUP($A159,'STEP 2-WQv Calculation'!$A$8:$A$37,'STEP 2-WQv Calculation'!$C$8:$C$37)))</f>
        <v/>
      </c>
      <c r="D159" s="168" t="str">
        <f>IF($A159="","",(LOOKUP($A159,'STEP 2-WQv Calculation'!$A$8:$A$37,'STEP 2-WQv Calculation'!$D$8:$D$37)))</f>
        <v/>
      </c>
      <c r="E159" s="167" t="str">
        <f>IF($A159="","",(LOOKUP($A159,'STEP 2-WQv Calculation'!$A$8:$A$37,'STEP 2-WQv Calculation'!$E$8:$E$37)))</f>
        <v/>
      </c>
      <c r="F159" s="169" t="str">
        <f>IF($A159="","",(LOOKUP($A159,'STEP 2-WQv Calculation'!$A$8:$A$37,'STEP 2-WQv Calculation'!$F$8:$F$37)))</f>
        <v/>
      </c>
      <c r="G159" s="170">
        <f>'STEP 2-WQv Calculation'!$B$5</f>
        <v>0</v>
      </c>
      <c r="H159" s="171" t="str">
        <f>IF($A159="","",(LOOKUP($A159,'STEP 2-WQv Calculation'!$A$8:$A$37,'STEP 2-WQv Calculation'!$G$8:$G$37)))</f>
        <v/>
      </c>
    </row>
    <row r="160" spans="1:8" ht="13" x14ac:dyDescent="0.3">
      <c r="A160" s="360" t="s">
        <v>226</v>
      </c>
      <c r="B160" s="361"/>
      <c r="C160" s="361"/>
      <c r="D160" s="361"/>
      <c r="E160" s="361"/>
      <c r="F160" s="361"/>
      <c r="G160" s="361"/>
      <c r="H160" s="362"/>
    </row>
    <row r="161" spans="1:8" x14ac:dyDescent="0.25">
      <c r="A161" s="242" t="s">
        <v>592</v>
      </c>
      <c r="B161" s="243"/>
      <c r="C161" s="244"/>
      <c r="D161" s="139"/>
      <c r="E161" s="322" t="str">
        <f>IF(D161="Yes","Does not meet design criteria","")</f>
        <v/>
      </c>
      <c r="F161" s="323"/>
      <c r="G161" s="323"/>
      <c r="H161" s="324"/>
    </row>
    <row r="162" spans="1:8" x14ac:dyDescent="0.25">
      <c r="A162" s="242" t="s">
        <v>326</v>
      </c>
      <c r="B162" s="243"/>
      <c r="C162" s="244"/>
      <c r="D162" s="135" t="str">
        <f>IF(B159="","",IF(B159&gt;5,"Yes","No"))</f>
        <v/>
      </c>
      <c r="E162" s="322" t="str">
        <f>IF(D162="Yes","Does not meet design criteria","")</f>
        <v/>
      </c>
      <c r="F162" s="323"/>
      <c r="G162" s="323"/>
      <c r="H162" s="324"/>
    </row>
    <row r="163" spans="1:8" x14ac:dyDescent="0.25">
      <c r="A163" s="242" t="s">
        <v>507</v>
      </c>
      <c r="B163" s="243"/>
      <c r="C163" s="244"/>
      <c r="D163" s="139"/>
      <c r="E163" s="322" t="str">
        <f>IF(D163="","",IF(D163&lt;(F159*0.1),"Does not meet design crtieria",""))</f>
        <v/>
      </c>
      <c r="F163" s="323"/>
      <c r="G163" s="323"/>
      <c r="H163" s="324"/>
    </row>
    <row r="164" spans="1:8" ht="13" x14ac:dyDescent="0.3">
      <c r="A164" s="433" t="s">
        <v>232</v>
      </c>
      <c r="B164" s="434"/>
      <c r="C164" s="434"/>
      <c r="D164" s="361"/>
      <c r="E164" s="361"/>
      <c r="F164" s="361"/>
      <c r="G164" s="361"/>
      <c r="H164" s="362"/>
    </row>
    <row r="165" spans="1:8" ht="13" x14ac:dyDescent="0.3">
      <c r="A165" s="346"/>
      <c r="B165" s="347"/>
      <c r="C165" s="348"/>
      <c r="D165" s="47" t="s">
        <v>256</v>
      </c>
      <c r="E165" s="48" t="s">
        <v>257</v>
      </c>
      <c r="F165" s="349" t="s">
        <v>258</v>
      </c>
      <c r="G165" s="350"/>
      <c r="H165" s="351"/>
    </row>
    <row r="166" spans="1:8" x14ac:dyDescent="0.25">
      <c r="A166" s="289" t="s">
        <v>331</v>
      </c>
      <c r="B166" s="289"/>
      <c r="C166" s="159" t="s">
        <v>332</v>
      </c>
      <c r="D166" s="140"/>
      <c r="E166" s="193" t="s">
        <v>271</v>
      </c>
      <c r="F166" s="345" t="str">
        <f>IF(D166="","",IF(D166&lt;2,"Does not meet design criteria",IF(D166&gt;8,"Does not meet design criteria","")))</f>
        <v/>
      </c>
      <c r="G166" s="345"/>
      <c r="H166" s="345"/>
    </row>
    <row r="167" spans="1:8" x14ac:dyDescent="0.25">
      <c r="A167" s="289" t="s">
        <v>606</v>
      </c>
      <c r="B167" s="289"/>
      <c r="C167" s="159" t="s">
        <v>336</v>
      </c>
      <c r="D167" s="179"/>
      <c r="E167" s="193" t="s">
        <v>337</v>
      </c>
      <c r="F167" s="345" t="str">
        <f>IF(D167="","",IF(D167&lt;3,"Does not meet design criteria",""))</f>
        <v/>
      </c>
      <c r="G167" s="345"/>
      <c r="H167" s="345"/>
    </row>
    <row r="168" spans="1:8" x14ac:dyDescent="0.25">
      <c r="A168" s="289" t="s">
        <v>333</v>
      </c>
      <c r="B168" s="289"/>
      <c r="C168" s="159" t="s">
        <v>334</v>
      </c>
      <c r="D168" s="179"/>
      <c r="E168" s="193" t="s">
        <v>271</v>
      </c>
      <c r="F168" s="345"/>
      <c r="G168" s="345"/>
      <c r="H168" s="345"/>
    </row>
    <row r="169" spans="1:8" x14ac:dyDescent="0.25">
      <c r="A169" s="289" t="s">
        <v>338</v>
      </c>
      <c r="B169" s="289"/>
      <c r="C169" s="159" t="s">
        <v>339</v>
      </c>
      <c r="D169" s="160">
        <f>D166+(2*D167)*D168</f>
        <v>0</v>
      </c>
      <c r="E169" s="193" t="s">
        <v>271</v>
      </c>
      <c r="F169" s="345"/>
      <c r="G169" s="345"/>
      <c r="H169" s="345"/>
    </row>
    <row r="170" spans="1:8" x14ac:dyDescent="0.25">
      <c r="A170" s="289" t="s">
        <v>607</v>
      </c>
      <c r="B170" s="289"/>
      <c r="C170" s="159" t="s">
        <v>343</v>
      </c>
      <c r="D170" s="173">
        <f>(D169+D166)*D168/2</f>
        <v>0</v>
      </c>
      <c r="E170" s="193" t="s">
        <v>316</v>
      </c>
      <c r="F170" s="345"/>
      <c r="G170" s="345"/>
      <c r="H170" s="345"/>
    </row>
    <row r="171" spans="1:8" x14ac:dyDescent="0.25">
      <c r="A171" s="289" t="s">
        <v>608</v>
      </c>
      <c r="B171" s="289"/>
      <c r="C171" s="159" t="s">
        <v>349</v>
      </c>
      <c r="D171" s="173" t="e">
        <f>IF(D169="","",ROUNDUP(F159/D170,0))</f>
        <v>#VALUE!</v>
      </c>
      <c r="E171" s="193" t="s">
        <v>271</v>
      </c>
      <c r="F171" s="345"/>
      <c r="G171" s="345"/>
      <c r="H171" s="345"/>
    </row>
    <row r="172" spans="1:8" x14ac:dyDescent="0.25">
      <c r="A172" s="289" t="s">
        <v>609</v>
      </c>
      <c r="B172" s="289"/>
      <c r="C172" s="159" t="s">
        <v>351</v>
      </c>
      <c r="D172" s="140"/>
      <c r="E172" s="193" t="s">
        <v>271</v>
      </c>
      <c r="F172" s="345" t="str">
        <f>IF(D172="","",IF(D172&lt;D171,"Does not meet design criteria",""))</f>
        <v/>
      </c>
      <c r="G172" s="345"/>
      <c r="H172" s="345"/>
    </row>
    <row r="173" spans="1:8" x14ac:dyDescent="0.25">
      <c r="A173" s="289" t="s">
        <v>610</v>
      </c>
      <c r="B173" s="289"/>
      <c r="C173" s="159" t="s">
        <v>611</v>
      </c>
      <c r="D173" s="174">
        <f>IF(D170="","",D170*D172)</f>
        <v>0</v>
      </c>
      <c r="E173" s="193" t="s">
        <v>2</v>
      </c>
      <c r="F173" s="345" t="str">
        <f>IF(D169="","",IF(D173&lt;D169,"Does not meet sizing criteria",""))</f>
        <v/>
      </c>
      <c r="G173" s="345"/>
      <c r="H173" s="345"/>
    </row>
    <row r="174" spans="1:8" x14ac:dyDescent="0.25">
      <c r="A174" s="289" t="s">
        <v>354</v>
      </c>
      <c r="B174" s="289"/>
      <c r="C174" s="159" t="s">
        <v>355</v>
      </c>
      <c r="D174" s="140"/>
      <c r="E174" s="193" t="s">
        <v>271</v>
      </c>
      <c r="F174" s="345" t="str">
        <f>IF(D174="","",IF(D174&gt;1,"Does not meet design criteria",""))</f>
        <v/>
      </c>
      <c r="G174" s="345"/>
      <c r="H174" s="345"/>
    </row>
    <row r="175" spans="1:8" x14ac:dyDescent="0.25">
      <c r="A175" s="266" t="s">
        <v>356</v>
      </c>
      <c r="B175" s="268"/>
      <c r="C175" s="159" t="s">
        <v>357</v>
      </c>
      <c r="D175" s="62" t="str">
        <f>IF(D174="","",ROUNDUP(D174/D182,0))</f>
        <v/>
      </c>
      <c r="E175" s="193" t="s">
        <v>271</v>
      </c>
      <c r="F175" s="435"/>
      <c r="G175" s="436"/>
      <c r="H175" s="437"/>
    </row>
    <row r="176" spans="1:8" x14ac:dyDescent="0.25">
      <c r="A176" s="289" t="s">
        <v>358</v>
      </c>
      <c r="B176" s="289"/>
      <c r="C176" s="159" t="s">
        <v>217</v>
      </c>
      <c r="D176" s="62" t="str">
        <f>IF(D175="","",ROUNDUP(D172/D175,0))</f>
        <v/>
      </c>
      <c r="E176" s="193"/>
      <c r="F176" s="345"/>
      <c r="G176" s="345"/>
      <c r="H176" s="345"/>
    </row>
    <row r="177" spans="1:8" x14ac:dyDescent="0.25">
      <c r="A177" s="289" t="s">
        <v>612</v>
      </c>
      <c r="B177" s="289"/>
      <c r="C177" s="159" t="s">
        <v>613</v>
      </c>
      <c r="D177" s="179"/>
      <c r="E177" s="193" t="s">
        <v>271</v>
      </c>
      <c r="F177" s="345"/>
      <c r="G177" s="345"/>
      <c r="H177" s="345"/>
    </row>
    <row r="178" spans="1:8" x14ac:dyDescent="0.25">
      <c r="A178" s="289" t="s">
        <v>614</v>
      </c>
      <c r="B178" s="289"/>
      <c r="C178" s="159" t="s">
        <v>615</v>
      </c>
      <c r="D178" s="160">
        <f>D166+(2*D167)*D177</f>
        <v>0</v>
      </c>
      <c r="E178" s="193" t="s">
        <v>271</v>
      </c>
      <c r="F178" s="345"/>
      <c r="G178" s="345"/>
      <c r="H178" s="345"/>
    </row>
    <row r="179" spans="1:8" x14ac:dyDescent="0.25">
      <c r="A179" s="289" t="s">
        <v>616</v>
      </c>
      <c r="B179" s="289"/>
      <c r="C179" s="159" t="s">
        <v>617</v>
      </c>
      <c r="D179" s="173">
        <f>(D177*(D166+D178))/2</f>
        <v>0</v>
      </c>
      <c r="E179" s="193" t="s">
        <v>316</v>
      </c>
      <c r="F179" s="345"/>
      <c r="G179" s="345"/>
      <c r="H179" s="345"/>
    </row>
    <row r="180" spans="1:8" x14ac:dyDescent="0.25">
      <c r="A180" s="289" t="s">
        <v>618</v>
      </c>
      <c r="B180" s="289"/>
      <c r="C180" s="159" t="s">
        <v>619</v>
      </c>
      <c r="D180" s="173">
        <f>D166+((D177^2)+((D167*D177)^2)^0.5)*2</f>
        <v>0</v>
      </c>
      <c r="E180" s="193" t="s">
        <v>271</v>
      </c>
      <c r="F180" s="345"/>
      <c r="G180" s="345"/>
      <c r="H180" s="345"/>
    </row>
    <row r="181" spans="1:8" x14ac:dyDescent="0.25">
      <c r="A181" s="289" t="s">
        <v>620</v>
      </c>
      <c r="B181" s="289"/>
      <c r="C181" s="159" t="s">
        <v>268</v>
      </c>
      <c r="D181" s="180"/>
      <c r="E181" s="193"/>
      <c r="F181" s="345"/>
      <c r="G181" s="345"/>
      <c r="H181" s="345"/>
    </row>
    <row r="182" spans="1:8" x14ac:dyDescent="0.25">
      <c r="A182" s="289" t="s">
        <v>621</v>
      </c>
      <c r="B182" s="289"/>
      <c r="C182" s="159" t="s">
        <v>214</v>
      </c>
      <c r="D182" s="180"/>
      <c r="E182" s="193" t="s">
        <v>266</v>
      </c>
      <c r="F182" s="345" t="str">
        <f>IF(D182="","",IF(D182&lt;0.005,"Does not meet design criteria",IF(D182&gt;0.04,"Does not meet design criteria","")))</f>
        <v/>
      </c>
      <c r="G182" s="345"/>
      <c r="H182" s="345"/>
    </row>
    <row r="183" spans="1:8" x14ac:dyDescent="0.25">
      <c r="A183" s="289" t="s">
        <v>622</v>
      </c>
      <c r="B183" s="289"/>
      <c r="C183" s="159" t="s">
        <v>345</v>
      </c>
      <c r="D183" s="173" t="str">
        <f>IF(D182="","",ROUNDUP((1.49/D181)*((D179/D180)^(2/3))*(D182^(1/2)),2))</f>
        <v/>
      </c>
      <c r="E183" s="193" t="s">
        <v>346</v>
      </c>
      <c r="F183" s="345" t="str">
        <f>IF(D182="","",IF(D183&gt;5,"Does not meet design criteria",""))</f>
        <v/>
      </c>
      <c r="G183" s="345"/>
      <c r="H183" s="345"/>
    </row>
    <row r="184" spans="1:8" x14ac:dyDescent="0.25">
      <c r="A184" s="289" t="s">
        <v>623</v>
      </c>
      <c r="B184" s="289"/>
      <c r="C184" s="159"/>
      <c r="D184" s="140"/>
      <c r="E184" s="193" t="s">
        <v>271</v>
      </c>
      <c r="F184" s="345" t="str">
        <f>IF(D184="","",IF(D184&lt;0.5,"Does not meet design criteria",""))</f>
        <v/>
      </c>
      <c r="G184" s="345"/>
      <c r="H184" s="345"/>
    </row>
    <row r="185" spans="1:8" ht="13" x14ac:dyDescent="0.25">
      <c r="A185" s="390" t="s">
        <v>468</v>
      </c>
      <c r="B185" s="390"/>
      <c r="C185" s="390"/>
      <c r="D185" s="390"/>
      <c r="E185" s="390"/>
      <c r="F185" s="390"/>
      <c r="G185" s="390"/>
      <c r="H185" s="390"/>
    </row>
    <row r="186" spans="1:8" ht="13" x14ac:dyDescent="0.25">
      <c r="A186" s="398" t="s">
        <v>469</v>
      </c>
      <c r="B186" s="399"/>
      <c r="C186" s="400"/>
      <c r="D186" s="181" t="str">
        <f>IF(A159="","",IF(B159="",0,IF(D161="Yes",0,IF(D162="Yes",0,IF(D163&lt;(F159*0.1),0,IF(D166&lt;2,0,IF(D166&gt;8,0,IF(D167&lt;3,0,IF(D182&lt;0.005,0,IF(D182&gt;0.04,0,IF(D172&lt;D171,0,IF(D173&lt;F159,0,IF(D183&gt;5,0,IF(D184&lt;0.5,0,F159))))))))))))))</f>
        <v/>
      </c>
      <c r="E186" s="182" t="s">
        <v>2</v>
      </c>
      <c r="F186" s="440"/>
      <c r="G186" s="441"/>
      <c r="H186" s="441"/>
    </row>
    <row r="187" spans="1:8" ht="13" x14ac:dyDescent="0.25">
      <c r="A187" s="161" t="s">
        <v>56</v>
      </c>
      <c r="B187" s="162" t="str">
        <f>IF('STEP 2-WQv Calculation'!$B$4="","",'STEP 2-WQv Calculation'!$B$4)</f>
        <v/>
      </c>
      <c r="C187" s="163"/>
      <c r="D187" s="163"/>
      <c r="E187" s="163"/>
      <c r="F187" s="163"/>
      <c r="G187" s="163"/>
      <c r="H187" s="163"/>
    </row>
    <row r="188" spans="1:8" ht="13" x14ac:dyDescent="0.3">
      <c r="A188" s="360" t="s">
        <v>293</v>
      </c>
      <c r="B188" s="361"/>
      <c r="C188" s="361"/>
      <c r="D188" s="361"/>
      <c r="E188" s="361"/>
      <c r="F188" s="361"/>
      <c r="G188" s="361"/>
      <c r="H188" s="362"/>
    </row>
    <row r="189" spans="1:8" ht="38.5" x14ac:dyDescent="0.25">
      <c r="A189" s="164" t="s">
        <v>60</v>
      </c>
      <c r="B189" s="165" t="s">
        <v>600</v>
      </c>
      <c r="C189" s="165" t="s">
        <v>601</v>
      </c>
      <c r="D189" s="165" t="s">
        <v>602</v>
      </c>
      <c r="E189" s="165" t="s">
        <v>64</v>
      </c>
      <c r="F189" s="165" t="s">
        <v>603</v>
      </c>
      <c r="G189" s="165" t="s">
        <v>604</v>
      </c>
      <c r="H189" s="166" t="s">
        <v>13</v>
      </c>
    </row>
    <row r="190" spans="1:8" x14ac:dyDescent="0.25">
      <c r="A190" s="178"/>
      <c r="B190" s="167" t="str">
        <f>IF($A190="","",(LOOKUP($A190,'STEP 2-WQv Calculation'!$A$8:$A$37,'STEP 2-WQv Calculation'!$B$8:$B$37)))</f>
        <v/>
      </c>
      <c r="C190" s="167" t="str">
        <f>IF($A190="","",(LOOKUP($A190,'STEP 2-WQv Calculation'!$A$8:$A$37,'STEP 2-WQv Calculation'!$C$8:$C$37)))</f>
        <v/>
      </c>
      <c r="D190" s="168" t="str">
        <f>IF($A190="","",(LOOKUP($A190,'STEP 2-WQv Calculation'!$A$8:$A$37,'STEP 2-WQv Calculation'!$D$8:$D$37)))</f>
        <v/>
      </c>
      <c r="E190" s="167" t="str">
        <f>IF($A190="","",(LOOKUP($A190,'STEP 2-WQv Calculation'!$A$8:$A$37,'STEP 2-WQv Calculation'!$E$8:$E$37)))</f>
        <v/>
      </c>
      <c r="F190" s="169" t="str">
        <f>IF($A190="","",(LOOKUP($A190,'STEP 2-WQv Calculation'!$A$8:$A$37,'STEP 2-WQv Calculation'!$F$8:$F$37)))</f>
        <v/>
      </c>
      <c r="G190" s="170">
        <f>'STEP 2-WQv Calculation'!$B$5</f>
        <v>0</v>
      </c>
      <c r="H190" s="171" t="str">
        <f>IF($A190="","",(LOOKUP($A190,'STEP 2-WQv Calculation'!$A$8:$A$37,'STEP 2-WQv Calculation'!$G$8:$G$37)))</f>
        <v/>
      </c>
    </row>
    <row r="191" spans="1:8" ht="13" x14ac:dyDescent="0.3">
      <c r="A191" s="360" t="s">
        <v>226</v>
      </c>
      <c r="B191" s="361"/>
      <c r="C191" s="361"/>
      <c r="D191" s="361"/>
      <c r="E191" s="361"/>
      <c r="F191" s="361"/>
      <c r="G191" s="361"/>
      <c r="H191" s="362"/>
    </row>
    <row r="192" spans="1:8" x14ac:dyDescent="0.25">
      <c r="A192" s="242" t="s">
        <v>592</v>
      </c>
      <c r="B192" s="243"/>
      <c r="C192" s="244"/>
      <c r="D192" s="139"/>
      <c r="E192" s="322" t="str">
        <f>IF(D192="Yes","Does not meet design criteria","")</f>
        <v/>
      </c>
      <c r="F192" s="323"/>
      <c r="G192" s="323"/>
      <c r="H192" s="324"/>
    </row>
    <row r="193" spans="1:8" x14ac:dyDescent="0.25">
      <c r="A193" s="242" t="s">
        <v>326</v>
      </c>
      <c r="B193" s="243"/>
      <c r="C193" s="244"/>
      <c r="D193" s="135" t="str">
        <f>IF(B190="","",IF(B190&gt;5,"Yes","No"))</f>
        <v/>
      </c>
      <c r="E193" s="322" t="str">
        <f>IF(D193="Yes","Does not meet design criteria","")</f>
        <v/>
      </c>
      <c r="F193" s="323"/>
      <c r="G193" s="323"/>
      <c r="H193" s="324"/>
    </row>
    <row r="194" spans="1:8" x14ac:dyDescent="0.25">
      <c r="A194" s="242" t="s">
        <v>507</v>
      </c>
      <c r="B194" s="243"/>
      <c r="C194" s="244"/>
      <c r="D194" s="139"/>
      <c r="E194" s="322" t="str">
        <f>IF(D194="","",IF(D194&lt;(F190*0.1),"Does not meet design crtieria",""))</f>
        <v/>
      </c>
      <c r="F194" s="323"/>
      <c r="G194" s="323"/>
      <c r="H194" s="324"/>
    </row>
    <row r="195" spans="1:8" ht="13" x14ac:dyDescent="0.3">
      <c r="A195" s="433" t="s">
        <v>232</v>
      </c>
      <c r="B195" s="434"/>
      <c r="C195" s="434"/>
      <c r="D195" s="361"/>
      <c r="E195" s="361"/>
      <c r="F195" s="361"/>
      <c r="G195" s="361"/>
      <c r="H195" s="362"/>
    </row>
    <row r="196" spans="1:8" ht="13" x14ac:dyDescent="0.3">
      <c r="A196" s="346"/>
      <c r="B196" s="347"/>
      <c r="C196" s="348"/>
      <c r="D196" s="47" t="s">
        <v>256</v>
      </c>
      <c r="E196" s="48" t="s">
        <v>257</v>
      </c>
      <c r="F196" s="349" t="s">
        <v>258</v>
      </c>
      <c r="G196" s="350"/>
      <c r="H196" s="351"/>
    </row>
    <row r="197" spans="1:8" x14ac:dyDescent="0.25">
      <c r="A197" s="289" t="s">
        <v>331</v>
      </c>
      <c r="B197" s="289"/>
      <c r="C197" s="159" t="s">
        <v>332</v>
      </c>
      <c r="D197" s="140"/>
      <c r="E197" s="193" t="s">
        <v>271</v>
      </c>
      <c r="F197" s="345" t="str">
        <f>IF(D197="","",IF(D197&lt;2,"Does not meet design criteria",IF(D197&gt;8,"Does not meet design criteria","")))</f>
        <v/>
      </c>
      <c r="G197" s="345"/>
      <c r="H197" s="345"/>
    </row>
    <row r="198" spans="1:8" x14ac:dyDescent="0.25">
      <c r="A198" s="289" t="s">
        <v>606</v>
      </c>
      <c r="B198" s="289"/>
      <c r="C198" s="159" t="s">
        <v>336</v>
      </c>
      <c r="D198" s="179"/>
      <c r="E198" s="193" t="s">
        <v>337</v>
      </c>
      <c r="F198" s="345" t="str">
        <f>IF(D198="","",IF(D198&lt;3,"Does not meet design criteria",""))</f>
        <v/>
      </c>
      <c r="G198" s="345"/>
      <c r="H198" s="345"/>
    </row>
    <row r="199" spans="1:8" x14ac:dyDescent="0.25">
      <c r="A199" s="289" t="s">
        <v>333</v>
      </c>
      <c r="B199" s="289"/>
      <c r="C199" s="159" t="s">
        <v>334</v>
      </c>
      <c r="D199" s="179"/>
      <c r="E199" s="193" t="s">
        <v>271</v>
      </c>
      <c r="F199" s="345"/>
      <c r="G199" s="345"/>
      <c r="H199" s="345"/>
    </row>
    <row r="200" spans="1:8" x14ac:dyDescent="0.25">
      <c r="A200" s="289" t="s">
        <v>338</v>
      </c>
      <c r="B200" s="289"/>
      <c r="C200" s="159" t="s">
        <v>339</v>
      </c>
      <c r="D200" s="160">
        <f>D197+(2*D198)*D199</f>
        <v>0</v>
      </c>
      <c r="E200" s="193" t="s">
        <v>271</v>
      </c>
      <c r="F200" s="345"/>
      <c r="G200" s="345"/>
      <c r="H200" s="345"/>
    </row>
    <row r="201" spans="1:8" x14ac:dyDescent="0.25">
      <c r="A201" s="289" t="s">
        <v>607</v>
      </c>
      <c r="B201" s="289"/>
      <c r="C201" s="159" t="s">
        <v>343</v>
      </c>
      <c r="D201" s="173">
        <f>(D200+D197)*D199/2</f>
        <v>0</v>
      </c>
      <c r="E201" s="193" t="s">
        <v>316</v>
      </c>
      <c r="F201" s="345"/>
      <c r="G201" s="345"/>
      <c r="H201" s="345"/>
    </row>
    <row r="202" spans="1:8" x14ac:dyDescent="0.25">
      <c r="A202" s="289" t="s">
        <v>608</v>
      </c>
      <c r="B202" s="289"/>
      <c r="C202" s="159" t="s">
        <v>349</v>
      </c>
      <c r="D202" s="173" t="e">
        <f>IF(D200="","",ROUNDUP(F190/D201,0))</f>
        <v>#VALUE!</v>
      </c>
      <c r="E202" s="193" t="s">
        <v>271</v>
      </c>
      <c r="F202" s="345"/>
      <c r="G202" s="345"/>
      <c r="H202" s="345"/>
    </row>
    <row r="203" spans="1:8" x14ac:dyDescent="0.25">
      <c r="A203" s="289" t="s">
        <v>609</v>
      </c>
      <c r="B203" s="289"/>
      <c r="C203" s="159" t="s">
        <v>351</v>
      </c>
      <c r="D203" s="140"/>
      <c r="E203" s="193" t="s">
        <v>271</v>
      </c>
      <c r="F203" s="345" t="str">
        <f>IF(D203="","",IF(D203&lt;D202,"Does not meet design criteria",""))</f>
        <v/>
      </c>
      <c r="G203" s="345"/>
      <c r="H203" s="345"/>
    </row>
    <row r="204" spans="1:8" x14ac:dyDescent="0.25">
      <c r="A204" s="289" t="s">
        <v>610</v>
      </c>
      <c r="B204" s="289"/>
      <c r="C204" s="159" t="s">
        <v>611</v>
      </c>
      <c r="D204" s="174">
        <f>IF(D201="","",D201*D203)</f>
        <v>0</v>
      </c>
      <c r="E204" s="193" t="s">
        <v>2</v>
      </c>
      <c r="F204" s="345" t="str">
        <f>IF(D200="","",IF(D204&lt;D200,"Does not meet sizing criteria",""))</f>
        <v/>
      </c>
      <c r="G204" s="345"/>
      <c r="H204" s="345"/>
    </row>
    <row r="205" spans="1:8" x14ac:dyDescent="0.25">
      <c r="A205" s="289" t="s">
        <v>354</v>
      </c>
      <c r="B205" s="289"/>
      <c r="C205" s="159" t="s">
        <v>355</v>
      </c>
      <c r="D205" s="140"/>
      <c r="E205" s="193" t="s">
        <v>271</v>
      </c>
      <c r="F205" s="345" t="str">
        <f>IF(D205="","",IF(D205&gt;1,"Does not meet design criteria",""))</f>
        <v/>
      </c>
      <c r="G205" s="345"/>
      <c r="H205" s="345"/>
    </row>
    <row r="206" spans="1:8" x14ac:dyDescent="0.25">
      <c r="A206" s="266" t="s">
        <v>356</v>
      </c>
      <c r="B206" s="268"/>
      <c r="C206" s="159" t="s">
        <v>357</v>
      </c>
      <c r="D206" s="62" t="str">
        <f>IF(D205="","",ROUNDUP(D205/D213,0))</f>
        <v/>
      </c>
      <c r="E206" s="193" t="s">
        <v>271</v>
      </c>
      <c r="F206" s="435"/>
      <c r="G206" s="436"/>
      <c r="H206" s="437"/>
    </row>
    <row r="207" spans="1:8" x14ac:dyDescent="0.25">
      <c r="A207" s="289" t="s">
        <v>358</v>
      </c>
      <c r="B207" s="289"/>
      <c r="C207" s="159" t="s">
        <v>217</v>
      </c>
      <c r="D207" s="62" t="str">
        <f>IF(D206="","",ROUNDUP(D203/D206,0))</f>
        <v/>
      </c>
      <c r="E207" s="193"/>
      <c r="F207" s="345"/>
      <c r="G207" s="345"/>
      <c r="H207" s="345"/>
    </row>
    <row r="208" spans="1:8" x14ac:dyDescent="0.25">
      <c r="A208" s="289" t="s">
        <v>612</v>
      </c>
      <c r="B208" s="289"/>
      <c r="C208" s="159" t="s">
        <v>613</v>
      </c>
      <c r="D208" s="179"/>
      <c r="E208" s="193" t="s">
        <v>271</v>
      </c>
      <c r="F208" s="345"/>
      <c r="G208" s="345"/>
      <c r="H208" s="345"/>
    </row>
    <row r="209" spans="1:8" x14ac:dyDescent="0.25">
      <c r="A209" s="289" t="s">
        <v>614</v>
      </c>
      <c r="B209" s="289"/>
      <c r="C209" s="159" t="s">
        <v>615</v>
      </c>
      <c r="D209" s="160">
        <f>D197+(2*D198)*D208</f>
        <v>0</v>
      </c>
      <c r="E209" s="193" t="s">
        <v>271</v>
      </c>
      <c r="F209" s="345"/>
      <c r="G209" s="345"/>
      <c r="H209" s="345"/>
    </row>
    <row r="210" spans="1:8" x14ac:dyDescent="0.25">
      <c r="A210" s="289" t="s">
        <v>616</v>
      </c>
      <c r="B210" s="289"/>
      <c r="C210" s="159" t="s">
        <v>617</v>
      </c>
      <c r="D210" s="173">
        <f>(D208*(D197+D209))/2</f>
        <v>0</v>
      </c>
      <c r="E210" s="193" t="s">
        <v>316</v>
      </c>
      <c r="F210" s="345"/>
      <c r="G210" s="345"/>
      <c r="H210" s="345"/>
    </row>
    <row r="211" spans="1:8" x14ac:dyDescent="0.25">
      <c r="A211" s="289" t="s">
        <v>618</v>
      </c>
      <c r="B211" s="289"/>
      <c r="C211" s="159" t="s">
        <v>619</v>
      </c>
      <c r="D211" s="173">
        <f>D197+((D208^2)+((D198*D208)^2)^0.5)*2</f>
        <v>0</v>
      </c>
      <c r="E211" s="193" t="s">
        <v>271</v>
      </c>
      <c r="F211" s="345"/>
      <c r="G211" s="345"/>
      <c r="H211" s="345"/>
    </row>
    <row r="212" spans="1:8" x14ac:dyDescent="0.25">
      <c r="A212" s="289" t="s">
        <v>620</v>
      </c>
      <c r="B212" s="289"/>
      <c r="C212" s="159" t="s">
        <v>268</v>
      </c>
      <c r="D212" s="180"/>
      <c r="E212" s="193"/>
      <c r="F212" s="345"/>
      <c r="G212" s="345"/>
      <c r="H212" s="345"/>
    </row>
    <row r="213" spans="1:8" x14ac:dyDescent="0.25">
      <c r="A213" s="289" t="s">
        <v>621</v>
      </c>
      <c r="B213" s="289"/>
      <c r="C213" s="159" t="s">
        <v>214</v>
      </c>
      <c r="D213" s="180"/>
      <c r="E213" s="193" t="s">
        <v>266</v>
      </c>
      <c r="F213" s="345" t="str">
        <f>IF(D213="","",IF(D213&lt;0.005,"Does not meet design criteria",IF(D213&gt;0.04,"Does not meet design criteria","")))</f>
        <v/>
      </c>
      <c r="G213" s="345"/>
      <c r="H213" s="345"/>
    </row>
    <row r="214" spans="1:8" x14ac:dyDescent="0.25">
      <c r="A214" s="289" t="s">
        <v>622</v>
      </c>
      <c r="B214" s="289"/>
      <c r="C214" s="159" t="s">
        <v>345</v>
      </c>
      <c r="D214" s="173" t="str">
        <f>IF(D213="","",ROUNDUP((1.49/D212)*((D210/D211)^(2/3))*(D213^(1/2)),2))</f>
        <v/>
      </c>
      <c r="E214" s="193" t="s">
        <v>346</v>
      </c>
      <c r="F214" s="345" t="str">
        <f>IF(D213="","",IF(D214&gt;5,"Does not meet design criteria",""))</f>
        <v/>
      </c>
      <c r="G214" s="345"/>
      <c r="H214" s="345"/>
    </row>
    <row r="215" spans="1:8" x14ac:dyDescent="0.25">
      <c r="A215" s="289" t="s">
        <v>623</v>
      </c>
      <c r="B215" s="289"/>
      <c r="C215" s="159"/>
      <c r="D215" s="140"/>
      <c r="E215" s="193" t="s">
        <v>271</v>
      </c>
      <c r="F215" s="345" t="str">
        <f>IF(D215="","",IF(D215&lt;0.5,"Does not meet design criteria",""))</f>
        <v/>
      </c>
      <c r="G215" s="345"/>
      <c r="H215" s="345"/>
    </row>
    <row r="216" spans="1:8" ht="13" x14ac:dyDescent="0.25">
      <c r="A216" s="390" t="s">
        <v>468</v>
      </c>
      <c r="B216" s="390"/>
      <c r="C216" s="390"/>
      <c r="D216" s="390"/>
      <c r="E216" s="390"/>
      <c r="F216" s="390"/>
      <c r="G216" s="390"/>
      <c r="H216" s="390"/>
    </row>
    <row r="217" spans="1:8" ht="13" x14ac:dyDescent="0.25">
      <c r="A217" s="398" t="s">
        <v>469</v>
      </c>
      <c r="B217" s="399"/>
      <c r="C217" s="400"/>
      <c r="D217" s="181" t="str">
        <f>IF(A190="","",IF(B190="",0,IF(D192="Yes",0,IF(D193="Yes",0,IF(D194&lt;(F190*0.1),0,IF(D197&lt;2,0,IF(D197&gt;8,0,IF(D198&lt;3,0,IF(D213&lt;0.005,0,IF(D213&gt;0.04,0,IF(D203&lt;D202,0,IF(D204&lt;F190,0,IF(D214&gt;5,0,IF(D215&lt;0.5,0,F190))))))))))))))</f>
        <v/>
      </c>
      <c r="E217" s="182" t="s">
        <v>2</v>
      </c>
      <c r="F217" s="440"/>
      <c r="G217" s="441"/>
      <c r="H217" s="441"/>
    </row>
    <row r="218" spans="1:8" ht="13" x14ac:dyDescent="0.25">
      <c r="A218" s="161" t="s">
        <v>56</v>
      </c>
      <c r="B218" s="162" t="str">
        <f>IF('STEP 2-WQv Calculation'!$B$4="","",'STEP 2-WQv Calculation'!$B$4)</f>
        <v/>
      </c>
      <c r="C218" s="163"/>
      <c r="D218" s="163"/>
      <c r="E218" s="163"/>
      <c r="F218" s="163"/>
      <c r="G218" s="163"/>
      <c r="H218" s="163"/>
    </row>
    <row r="219" spans="1:8" ht="13" x14ac:dyDescent="0.3">
      <c r="A219" s="360" t="s">
        <v>293</v>
      </c>
      <c r="B219" s="361"/>
      <c r="C219" s="361"/>
      <c r="D219" s="361"/>
      <c r="E219" s="361"/>
      <c r="F219" s="361"/>
      <c r="G219" s="361"/>
      <c r="H219" s="362"/>
    </row>
    <row r="220" spans="1:8" ht="38.5" x14ac:dyDescent="0.25">
      <c r="A220" s="164" t="s">
        <v>60</v>
      </c>
      <c r="B220" s="165" t="s">
        <v>600</v>
      </c>
      <c r="C220" s="165" t="s">
        <v>601</v>
      </c>
      <c r="D220" s="165" t="s">
        <v>602</v>
      </c>
      <c r="E220" s="165" t="s">
        <v>64</v>
      </c>
      <c r="F220" s="165" t="s">
        <v>603</v>
      </c>
      <c r="G220" s="165" t="s">
        <v>604</v>
      </c>
      <c r="H220" s="166" t="s">
        <v>13</v>
      </c>
    </row>
    <row r="221" spans="1:8" x14ac:dyDescent="0.25">
      <c r="A221" s="178"/>
      <c r="B221" s="167" t="str">
        <f>IF($A221="","",(LOOKUP($A221,'STEP 2-WQv Calculation'!$A$8:$A$37,'STEP 2-WQv Calculation'!$B$8:$B$37)))</f>
        <v/>
      </c>
      <c r="C221" s="167" t="str">
        <f>IF($A221="","",(LOOKUP($A221,'STEP 2-WQv Calculation'!$A$8:$A$37,'STEP 2-WQv Calculation'!$C$8:$C$37)))</f>
        <v/>
      </c>
      <c r="D221" s="168" t="str">
        <f>IF($A221="","",(LOOKUP($A221,'STEP 2-WQv Calculation'!$A$8:$A$37,'STEP 2-WQv Calculation'!$D$8:$D$37)))</f>
        <v/>
      </c>
      <c r="E221" s="167" t="str">
        <f>IF($A221="","",(LOOKUP($A221,'STEP 2-WQv Calculation'!$A$8:$A$37,'STEP 2-WQv Calculation'!$E$8:$E$37)))</f>
        <v/>
      </c>
      <c r="F221" s="169" t="str">
        <f>IF($A221="","",(LOOKUP($A221,'STEP 2-WQv Calculation'!$A$8:$A$37,'STEP 2-WQv Calculation'!$F$8:$F$37)))</f>
        <v/>
      </c>
      <c r="G221" s="170">
        <f>'STEP 2-WQv Calculation'!$B$5</f>
        <v>0</v>
      </c>
      <c r="H221" s="171" t="str">
        <f>IF($A221="","",(LOOKUP($A221,'STEP 2-WQv Calculation'!$A$8:$A$37,'STEP 2-WQv Calculation'!$G$8:$G$37)))</f>
        <v/>
      </c>
    </row>
    <row r="222" spans="1:8" ht="13" x14ac:dyDescent="0.3">
      <c r="A222" s="360" t="s">
        <v>226</v>
      </c>
      <c r="B222" s="361"/>
      <c r="C222" s="361"/>
      <c r="D222" s="361"/>
      <c r="E222" s="361"/>
      <c r="F222" s="361"/>
      <c r="G222" s="361"/>
      <c r="H222" s="362"/>
    </row>
    <row r="223" spans="1:8" x14ac:dyDescent="0.25">
      <c r="A223" s="242" t="s">
        <v>592</v>
      </c>
      <c r="B223" s="243"/>
      <c r="C223" s="244"/>
      <c r="D223" s="139"/>
      <c r="E223" s="322" t="str">
        <f>IF(D223="Yes","Does not meet design criteria","")</f>
        <v/>
      </c>
      <c r="F223" s="323"/>
      <c r="G223" s="323"/>
      <c r="H223" s="324"/>
    </row>
    <row r="224" spans="1:8" x14ac:dyDescent="0.25">
      <c r="A224" s="242" t="s">
        <v>326</v>
      </c>
      <c r="B224" s="243"/>
      <c r="C224" s="244"/>
      <c r="D224" s="135" t="str">
        <f>IF(B221="","",IF(B221&gt;5,"Yes","No"))</f>
        <v/>
      </c>
      <c r="E224" s="322" t="str">
        <f>IF(D224="Yes","Does not meet design criteria","")</f>
        <v/>
      </c>
      <c r="F224" s="323"/>
      <c r="G224" s="323"/>
      <c r="H224" s="324"/>
    </row>
    <row r="225" spans="1:8" x14ac:dyDescent="0.25">
      <c r="A225" s="242" t="s">
        <v>507</v>
      </c>
      <c r="B225" s="243"/>
      <c r="C225" s="244"/>
      <c r="D225" s="139"/>
      <c r="E225" s="322" t="str">
        <f>IF(D225="","",IF(D225&lt;(F221*0.1),"Does not meet design crtieria",""))</f>
        <v/>
      </c>
      <c r="F225" s="323"/>
      <c r="G225" s="323"/>
      <c r="H225" s="324"/>
    </row>
    <row r="226" spans="1:8" ht="13" x14ac:dyDescent="0.3">
      <c r="A226" s="433" t="s">
        <v>232</v>
      </c>
      <c r="B226" s="434"/>
      <c r="C226" s="434"/>
      <c r="D226" s="361"/>
      <c r="E226" s="361"/>
      <c r="F226" s="361"/>
      <c r="G226" s="361"/>
      <c r="H226" s="362"/>
    </row>
    <row r="227" spans="1:8" ht="13" x14ac:dyDescent="0.3">
      <c r="A227" s="346"/>
      <c r="B227" s="347"/>
      <c r="C227" s="348"/>
      <c r="D227" s="47" t="s">
        <v>256</v>
      </c>
      <c r="E227" s="48" t="s">
        <v>257</v>
      </c>
      <c r="F227" s="349" t="s">
        <v>258</v>
      </c>
      <c r="G227" s="350"/>
      <c r="H227" s="351"/>
    </row>
    <row r="228" spans="1:8" x14ac:dyDescent="0.25">
      <c r="A228" s="289" t="s">
        <v>331</v>
      </c>
      <c r="B228" s="289"/>
      <c r="C228" s="159" t="s">
        <v>332</v>
      </c>
      <c r="D228" s="140"/>
      <c r="E228" s="193" t="s">
        <v>271</v>
      </c>
      <c r="F228" s="345" t="str">
        <f>IF(D228="","",IF(D228&lt;2,"Does not meet design criteria",IF(D228&gt;8,"Does not meet design criteria","")))</f>
        <v/>
      </c>
      <c r="G228" s="345"/>
      <c r="H228" s="345"/>
    </row>
    <row r="229" spans="1:8" x14ac:dyDescent="0.25">
      <c r="A229" s="289" t="s">
        <v>606</v>
      </c>
      <c r="B229" s="289"/>
      <c r="C229" s="159" t="s">
        <v>336</v>
      </c>
      <c r="D229" s="179"/>
      <c r="E229" s="193" t="s">
        <v>337</v>
      </c>
      <c r="F229" s="345" t="str">
        <f>IF(D229="","",IF(D229&lt;3,"Does not meet design criteria",""))</f>
        <v/>
      </c>
      <c r="G229" s="345"/>
      <c r="H229" s="345"/>
    </row>
    <row r="230" spans="1:8" x14ac:dyDescent="0.25">
      <c r="A230" s="289" t="s">
        <v>333</v>
      </c>
      <c r="B230" s="289"/>
      <c r="C230" s="159" t="s">
        <v>334</v>
      </c>
      <c r="D230" s="179"/>
      <c r="E230" s="193" t="s">
        <v>271</v>
      </c>
      <c r="F230" s="345"/>
      <c r="G230" s="345"/>
      <c r="H230" s="345"/>
    </row>
    <row r="231" spans="1:8" x14ac:dyDescent="0.25">
      <c r="A231" s="289" t="s">
        <v>338</v>
      </c>
      <c r="B231" s="289"/>
      <c r="C231" s="159" t="s">
        <v>339</v>
      </c>
      <c r="D231" s="160">
        <f>D228+(2*D229)*D230</f>
        <v>0</v>
      </c>
      <c r="E231" s="193" t="s">
        <v>271</v>
      </c>
      <c r="F231" s="345"/>
      <c r="G231" s="345"/>
      <c r="H231" s="345"/>
    </row>
    <row r="232" spans="1:8" x14ac:dyDescent="0.25">
      <c r="A232" s="289" t="s">
        <v>607</v>
      </c>
      <c r="B232" s="289"/>
      <c r="C232" s="159" t="s">
        <v>343</v>
      </c>
      <c r="D232" s="173">
        <f>(D231+D228)*D230/2</f>
        <v>0</v>
      </c>
      <c r="E232" s="193" t="s">
        <v>316</v>
      </c>
      <c r="F232" s="345"/>
      <c r="G232" s="345"/>
      <c r="H232" s="345"/>
    </row>
    <row r="233" spans="1:8" x14ac:dyDescent="0.25">
      <c r="A233" s="289" t="s">
        <v>608</v>
      </c>
      <c r="B233" s="289"/>
      <c r="C233" s="159" t="s">
        <v>349</v>
      </c>
      <c r="D233" s="173" t="e">
        <f>IF(D231="","",ROUNDUP(F221/D232,0))</f>
        <v>#VALUE!</v>
      </c>
      <c r="E233" s="193" t="s">
        <v>271</v>
      </c>
      <c r="F233" s="345"/>
      <c r="G233" s="345"/>
      <c r="H233" s="345"/>
    </row>
    <row r="234" spans="1:8" x14ac:dyDescent="0.25">
      <c r="A234" s="289" t="s">
        <v>609</v>
      </c>
      <c r="B234" s="289"/>
      <c r="C234" s="159" t="s">
        <v>351</v>
      </c>
      <c r="D234" s="140"/>
      <c r="E234" s="193" t="s">
        <v>271</v>
      </c>
      <c r="F234" s="345" t="str">
        <f>IF(D234="","",IF(D234&lt;D233,"Does not meet design criteria",""))</f>
        <v/>
      </c>
      <c r="G234" s="345"/>
      <c r="H234" s="345"/>
    </row>
    <row r="235" spans="1:8" x14ac:dyDescent="0.25">
      <c r="A235" s="289" t="s">
        <v>610</v>
      </c>
      <c r="B235" s="289"/>
      <c r="C235" s="159" t="s">
        <v>611</v>
      </c>
      <c r="D235" s="174">
        <f>IF(D232="","",D232*D234)</f>
        <v>0</v>
      </c>
      <c r="E235" s="193" t="s">
        <v>2</v>
      </c>
      <c r="F235" s="345" t="str">
        <f>IF(D231="","",IF(D235&lt;D231,"Does not meet sizing criteria",""))</f>
        <v/>
      </c>
      <c r="G235" s="345"/>
      <c r="H235" s="345"/>
    </row>
    <row r="236" spans="1:8" x14ac:dyDescent="0.25">
      <c r="A236" s="289" t="s">
        <v>354</v>
      </c>
      <c r="B236" s="289"/>
      <c r="C236" s="159" t="s">
        <v>355</v>
      </c>
      <c r="D236" s="140"/>
      <c r="E236" s="193" t="s">
        <v>271</v>
      </c>
      <c r="F236" s="345" t="str">
        <f>IF(D236="","",IF(D236&gt;1,"Does not meet design criteria",""))</f>
        <v/>
      </c>
      <c r="G236" s="345"/>
      <c r="H236" s="345"/>
    </row>
    <row r="237" spans="1:8" x14ac:dyDescent="0.25">
      <c r="A237" s="266" t="s">
        <v>356</v>
      </c>
      <c r="B237" s="268"/>
      <c r="C237" s="159" t="s">
        <v>357</v>
      </c>
      <c r="D237" s="62" t="str">
        <f>IF(D236="","",ROUNDUP(D236/D244,0))</f>
        <v/>
      </c>
      <c r="E237" s="193" t="s">
        <v>271</v>
      </c>
      <c r="F237" s="435"/>
      <c r="G237" s="436"/>
      <c r="H237" s="437"/>
    </row>
    <row r="238" spans="1:8" x14ac:dyDescent="0.25">
      <c r="A238" s="289" t="s">
        <v>358</v>
      </c>
      <c r="B238" s="289"/>
      <c r="C238" s="159" t="s">
        <v>217</v>
      </c>
      <c r="D238" s="62" t="str">
        <f>IF(D237="","",ROUNDUP(D234/D237,0))</f>
        <v/>
      </c>
      <c r="E238" s="193"/>
      <c r="F238" s="345"/>
      <c r="G238" s="345"/>
      <c r="H238" s="345"/>
    </row>
    <row r="239" spans="1:8" x14ac:dyDescent="0.25">
      <c r="A239" s="289" t="s">
        <v>612</v>
      </c>
      <c r="B239" s="289"/>
      <c r="C239" s="159" t="s">
        <v>613</v>
      </c>
      <c r="D239" s="179"/>
      <c r="E239" s="193" t="s">
        <v>271</v>
      </c>
      <c r="F239" s="345"/>
      <c r="G239" s="345"/>
      <c r="H239" s="345"/>
    </row>
    <row r="240" spans="1:8" x14ac:dyDescent="0.25">
      <c r="A240" s="289" t="s">
        <v>614</v>
      </c>
      <c r="B240" s="289"/>
      <c r="C240" s="159" t="s">
        <v>615</v>
      </c>
      <c r="D240" s="160">
        <f>D228+(2*D229)*D239</f>
        <v>0</v>
      </c>
      <c r="E240" s="193" t="s">
        <v>271</v>
      </c>
      <c r="F240" s="345"/>
      <c r="G240" s="345"/>
      <c r="H240" s="345"/>
    </row>
    <row r="241" spans="1:8" x14ac:dyDescent="0.25">
      <c r="A241" s="289" t="s">
        <v>616</v>
      </c>
      <c r="B241" s="289"/>
      <c r="C241" s="159" t="s">
        <v>617</v>
      </c>
      <c r="D241" s="173">
        <f>(D239*(D228+D240))/2</f>
        <v>0</v>
      </c>
      <c r="E241" s="193" t="s">
        <v>316</v>
      </c>
      <c r="F241" s="345"/>
      <c r="G241" s="345"/>
      <c r="H241" s="345"/>
    </row>
    <row r="242" spans="1:8" x14ac:dyDescent="0.25">
      <c r="A242" s="289" t="s">
        <v>618</v>
      </c>
      <c r="B242" s="289"/>
      <c r="C242" s="159" t="s">
        <v>619</v>
      </c>
      <c r="D242" s="173">
        <f>D228+((D239^2)+((D229*D239)^2)^0.5)*2</f>
        <v>0</v>
      </c>
      <c r="E242" s="193" t="s">
        <v>271</v>
      </c>
      <c r="F242" s="345"/>
      <c r="G242" s="345"/>
      <c r="H242" s="345"/>
    </row>
    <row r="243" spans="1:8" x14ac:dyDescent="0.25">
      <c r="A243" s="289" t="s">
        <v>620</v>
      </c>
      <c r="B243" s="289"/>
      <c r="C243" s="159" t="s">
        <v>268</v>
      </c>
      <c r="D243" s="180"/>
      <c r="E243" s="193"/>
      <c r="F243" s="345"/>
      <c r="G243" s="345"/>
      <c r="H243" s="345"/>
    </row>
    <row r="244" spans="1:8" x14ac:dyDescent="0.25">
      <c r="A244" s="289" t="s">
        <v>621</v>
      </c>
      <c r="B244" s="289"/>
      <c r="C244" s="159" t="s">
        <v>214</v>
      </c>
      <c r="D244" s="180"/>
      <c r="E244" s="193" t="s">
        <v>266</v>
      </c>
      <c r="F244" s="345" t="str">
        <f>IF(D244="","",IF(D244&lt;0.005,"Does not meet design criteria",IF(D244&gt;0.04,"Does not meet design criteria","")))</f>
        <v/>
      </c>
      <c r="G244" s="345"/>
      <c r="H244" s="345"/>
    </row>
    <row r="245" spans="1:8" x14ac:dyDescent="0.25">
      <c r="A245" s="289" t="s">
        <v>622</v>
      </c>
      <c r="B245" s="289"/>
      <c r="C245" s="159" t="s">
        <v>345</v>
      </c>
      <c r="D245" s="173" t="str">
        <f>IF(D244="","",ROUNDUP((1.49/D243)*((D241/D242)^(2/3))*(D244^(1/2)),2))</f>
        <v/>
      </c>
      <c r="E245" s="193" t="s">
        <v>346</v>
      </c>
      <c r="F245" s="345" t="str">
        <f>IF(D244="","",IF(D245&gt;5,"Does not meet design criteria",""))</f>
        <v/>
      </c>
      <c r="G245" s="345"/>
      <c r="H245" s="345"/>
    </row>
    <row r="246" spans="1:8" x14ac:dyDescent="0.25">
      <c r="A246" s="289" t="s">
        <v>623</v>
      </c>
      <c r="B246" s="289"/>
      <c r="C246" s="159"/>
      <c r="D246" s="140"/>
      <c r="E246" s="193" t="s">
        <v>271</v>
      </c>
      <c r="F246" s="345" t="str">
        <f>IF(D246="","",IF(D246&lt;0.5,"Does not meet design criteria",""))</f>
        <v/>
      </c>
      <c r="G246" s="345"/>
      <c r="H246" s="345"/>
    </row>
    <row r="247" spans="1:8" ht="13" x14ac:dyDescent="0.25">
      <c r="A247" s="390" t="s">
        <v>468</v>
      </c>
      <c r="B247" s="390"/>
      <c r="C247" s="390"/>
      <c r="D247" s="390"/>
      <c r="E247" s="390"/>
      <c r="F247" s="390"/>
      <c r="G247" s="390"/>
      <c r="H247" s="390"/>
    </row>
    <row r="248" spans="1:8" ht="13" x14ac:dyDescent="0.25">
      <c r="A248" s="398" t="s">
        <v>469</v>
      </c>
      <c r="B248" s="399"/>
      <c r="C248" s="400"/>
      <c r="D248" s="181" t="str">
        <f>IF(A221="","",IF(B221="",0,IF(D223="Yes",0,IF(D224="Yes",0,IF(D225&lt;(F221*0.1),0,IF(D228&lt;2,0,IF(D228&gt;8,0,IF(D229&lt;3,0,IF(D244&lt;0.005,0,IF(D244&gt;0.04,0,IF(D234&lt;D233,0,IF(D235&lt;F221,0,IF(D245&gt;5,0,IF(D246&lt;0.5,0,F221))))))))))))))</f>
        <v/>
      </c>
      <c r="E248" s="182" t="s">
        <v>2</v>
      </c>
      <c r="F248" s="440"/>
      <c r="G248" s="441"/>
      <c r="H248" s="441"/>
    </row>
    <row r="249" spans="1:8" ht="13" x14ac:dyDescent="0.25">
      <c r="A249" s="161" t="s">
        <v>56</v>
      </c>
      <c r="B249" s="162" t="str">
        <f>IF('STEP 2-WQv Calculation'!$B$4="","",'STEP 2-WQv Calculation'!$B$4)</f>
        <v/>
      </c>
      <c r="C249" s="163"/>
      <c r="D249" s="163"/>
      <c r="E249" s="163"/>
      <c r="F249" s="163"/>
      <c r="G249" s="163"/>
      <c r="H249" s="163"/>
    </row>
    <row r="250" spans="1:8" ht="13" x14ac:dyDescent="0.3">
      <c r="A250" s="360" t="s">
        <v>293</v>
      </c>
      <c r="B250" s="361"/>
      <c r="C250" s="361"/>
      <c r="D250" s="361"/>
      <c r="E250" s="361"/>
      <c r="F250" s="361"/>
      <c r="G250" s="361"/>
      <c r="H250" s="362"/>
    </row>
    <row r="251" spans="1:8" ht="38.5" x14ac:dyDescent="0.25">
      <c r="A251" s="164" t="s">
        <v>60</v>
      </c>
      <c r="B251" s="165" t="s">
        <v>600</v>
      </c>
      <c r="C251" s="165" t="s">
        <v>601</v>
      </c>
      <c r="D251" s="165" t="s">
        <v>602</v>
      </c>
      <c r="E251" s="165" t="s">
        <v>64</v>
      </c>
      <c r="F251" s="165" t="s">
        <v>603</v>
      </c>
      <c r="G251" s="165" t="s">
        <v>604</v>
      </c>
      <c r="H251" s="166" t="s">
        <v>13</v>
      </c>
    </row>
    <row r="252" spans="1:8" x14ac:dyDescent="0.25">
      <c r="A252" s="178"/>
      <c r="B252" s="167" t="str">
        <f>IF($A252="","",(LOOKUP($A252,'STEP 2-WQv Calculation'!$A$8:$A$37,'STEP 2-WQv Calculation'!$B$8:$B$37)))</f>
        <v/>
      </c>
      <c r="C252" s="167" t="str">
        <f>IF($A252="","",(LOOKUP($A252,'STEP 2-WQv Calculation'!$A$8:$A$37,'STEP 2-WQv Calculation'!$C$8:$C$37)))</f>
        <v/>
      </c>
      <c r="D252" s="168" t="str">
        <f>IF($A252="","",(LOOKUP($A252,'STEP 2-WQv Calculation'!$A$8:$A$37,'STEP 2-WQv Calculation'!$D$8:$D$37)))</f>
        <v/>
      </c>
      <c r="E252" s="167" t="str">
        <f>IF($A252="","",(LOOKUP($A252,'STEP 2-WQv Calculation'!$A$8:$A$37,'STEP 2-WQv Calculation'!$E$8:$E$37)))</f>
        <v/>
      </c>
      <c r="F252" s="169" t="str">
        <f>IF($A252="","",(LOOKUP($A252,'STEP 2-WQv Calculation'!$A$8:$A$37,'STEP 2-WQv Calculation'!$F$8:$F$37)))</f>
        <v/>
      </c>
      <c r="G252" s="170">
        <f>'STEP 2-WQv Calculation'!$B$5</f>
        <v>0</v>
      </c>
      <c r="H252" s="171" t="str">
        <f>IF($A252="","",(LOOKUP($A252,'STEP 2-WQv Calculation'!$A$8:$A$37,'STEP 2-WQv Calculation'!$G$8:$G$37)))</f>
        <v/>
      </c>
    </row>
    <row r="253" spans="1:8" ht="13" x14ac:dyDescent="0.3">
      <c r="A253" s="360" t="s">
        <v>226</v>
      </c>
      <c r="B253" s="361"/>
      <c r="C253" s="361"/>
      <c r="D253" s="361"/>
      <c r="E253" s="361"/>
      <c r="F253" s="361"/>
      <c r="G253" s="361"/>
      <c r="H253" s="362"/>
    </row>
    <row r="254" spans="1:8" x14ac:dyDescent="0.25">
      <c r="A254" s="242" t="s">
        <v>592</v>
      </c>
      <c r="B254" s="243"/>
      <c r="C254" s="244"/>
      <c r="D254" s="139"/>
      <c r="E254" s="322" t="str">
        <f>IF(D254="Yes","Does not meet design criteria","")</f>
        <v/>
      </c>
      <c r="F254" s="323"/>
      <c r="G254" s="323"/>
      <c r="H254" s="324"/>
    </row>
    <row r="255" spans="1:8" x14ac:dyDescent="0.25">
      <c r="A255" s="242" t="s">
        <v>326</v>
      </c>
      <c r="B255" s="243"/>
      <c r="C255" s="244"/>
      <c r="D255" s="135" t="str">
        <f>IF(B252="","",IF(B252&gt;5,"Yes","No"))</f>
        <v/>
      </c>
      <c r="E255" s="322" t="str">
        <f>IF(D255="Yes","Does not meet design criteria","")</f>
        <v/>
      </c>
      <c r="F255" s="323"/>
      <c r="G255" s="323"/>
      <c r="H255" s="324"/>
    </row>
    <row r="256" spans="1:8" x14ac:dyDescent="0.25">
      <c r="A256" s="242" t="s">
        <v>507</v>
      </c>
      <c r="B256" s="243"/>
      <c r="C256" s="244"/>
      <c r="D256" s="139"/>
      <c r="E256" s="322" t="str">
        <f>IF(D256="","",IF(D256&lt;(F252*0.1),"Does not meet design crtieria",""))</f>
        <v/>
      </c>
      <c r="F256" s="323"/>
      <c r="G256" s="323"/>
      <c r="H256" s="324"/>
    </row>
    <row r="257" spans="1:8" ht="13" x14ac:dyDescent="0.3">
      <c r="A257" s="433" t="s">
        <v>232</v>
      </c>
      <c r="B257" s="434"/>
      <c r="C257" s="434"/>
      <c r="D257" s="361"/>
      <c r="E257" s="361"/>
      <c r="F257" s="361"/>
      <c r="G257" s="361"/>
      <c r="H257" s="362"/>
    </row>
    <row r="258" spans="1:8" ht="13" x14ac:dyDescent="0.3">
      <c r="A258" s="346"/>
      <c r="B258" s="347"/>
      <c r="C258" s="348"/>
      <c r="D258" s="47" t="s">
        <v>256</v>
      </c>
      <c r="E258" s="48" t="s">
        <v>257</v>
      </c>
      <c r="F258" s="349" t="s">
        <v>258</v>
      </c>
      <c r="G258" s="350"/>
      <c r="H258" s="351"/>
    </row>
    <row r="259" spans="1:8" x14ac:dyDescent="0.25">
      <c r="A259" s="289" t="s">
        <v>331</v>
      </c>
      <c r="B259" s="289"/>
      <c r="C259" s="159" t="s">
        <v>332</v>
      </c>
      <c r="D259" s="140"/>
      <c r="E259" s="193" t="s">
        <v>271</v>
      </c>
      <c r="F259" s="345" t="str">
        <f>IF(D259="","",IF(D259&lt;2,"Does not meet design criteria",IF(D259&gt;8,"Does not meet design criteria","")))</f>
        <v/>
      </c>
      <c r="G259" s="345"/>
      <c r="H259" s="345"/>
    </row>
    <row r="260" spans="1:8" x14ac:dyDescent="0.25">
      <c r="A260" s="289" t="s">
        <v>606</v>
      </c>
      <c r="B260" s="289"/>
      <c r="C260" s="159" t="s">
        <v>336</v>
      </c>
      <c r="D260" s="179"/>
      <c r="E260" s="193" t="s">
        <v>337</v>
      </c>
      <c r="F260" s="345" t="str">
        <f>IF(D260="","",IF(D260&lt;3,"Does not meet design criteria",""))</f>
        <v/>
      </c>
      <c r="G260" s="345"/>
      <c r="H260" s="345"/>
    </row>
    <row r="261" spans="1:8" x14ac:dyDescent="0.25">
      <c r="A261" s="289" t="s">
        <v>333</v>
      </c>
      <c r="B261" s="289"/>
      <c r="C261" s="159" t="s">
        <v>334</v>
      </c>
      <c r="D261" s="179"/>
      <c r="E261" s="193" t="s">
        <v>271</v>
      </c>
      <c r="F261" s="345"/>
      <c r="G261" s="345"/>
      <c r="H261" s="345"/>
    </row>
    <row r="262" spans="1:8" x14ac:dyDescent="0.25">
      <c r="A262" s="289" t="s">
        <v>338</v>
      </c>
      <c r="B262" s="289"/>
      <c r="C262" s="159" t="s">
        <v>339</v>
      </c>
      <c r="D262" s="160">
        <f>D259+(2*D260)*D261</f>
        <v>0</v>
      </c>
      <c r="E262" s="193" t="s">
        <v>271</v>
      </c>
      <c r="F262" s="345"/>
      <c r="G262" s="345"/>
      <c r="H262" s="345"/>
    </row>
    <row r="263" spans="1:8" x14ac:dyDescent="0.25">
      <c r="A263" s="289" t="s">
        <v>607</v>
      </c>
      <c r="B263" s="289"/>
      <c r="C263" s="159" t="s">
        <v>343</v>
      </c>
      <c r="D263" s="173">
        <f>(D262+D259)*D261/2</f>
        <v>0</v>
      </c>
      <c r="E263" s="193" t="s">
        <v>316</v>
      </c>
      <c r="F263" s="345"/>
      <c r="G263" s="345"/>
      <c r="H263" s="345"/>
    </row>
    <row r="264" spans="1:8" x14ac:dyDescent="0.25">
      <c r="A264" s="289" t="s">
        <v>608</v>
      </c>
      <c r="B264" s="289"/>
      <c r="C264" s="159" t="s">
        <v>349</v>
      </c>
      <c r="D264" s="173" t="e">
        <f>IF(D262="","",ROUNDUP(F252/D263,0))</f>
        <v>#VALUE!</v>
      </c>
      <c r="E264" s="193" t="s">
        <v>271</v>
      </c>
      <c r="F264" s="345"/>
      <c r="G264" s="345"/>
      <c r="H264" s="345"/>
    </row>
    <row r="265" spans="1:8" x14ac:dyDescent="0.25">
      <c r="A265" s="289" t="s">
        <v>609</v>
      </c>
      <c r="B265" s="289"/>
      <c r="C265" s="159" t="s">
        <v>351</v>
      </c>
      <c r="D265" s="140"/>
      <c r="E265" s="193" t="s">
        <v>271</v>
      </c>
      <c r="F265" s="345" t="str">
        <f>IF(D265="","",IF(D265&lt;D264,"Does not meet design criteria",""))</f>
        <v/>
      </c>
      <c r="G265" s="345"/>
      <c r="H265" s="345"/>
    </row>
    <row r="266" spans="1:8" x14ac:dyDescent="0.25">
      <c r="A266" s="289" t="s">
        <v>610</v>
      </c>
      <c r="B266" s="289"/>
      <c r="C266" s="159" t="s">
        <v>611</v>
      </c>
      <c r="D266" s="174">
        <f>IF(D263="","",D263*D265)</f>
        <v>0</v>
      </c>
      <c r="E266" s="193" t="s">
        <v>2</v>
      </c>
      <c r="F266" s="345" t="str">
        <f>IF(D262="","",IF(D266&lt;D262,"Does not meet sizing criteria",""))</f>
        <v/>
      </c>
      <c r="G266" s="345"/>
      <c r="H266" s="345"/>
    </row>
    <row r="267" spans="1:8" x14ac:dyDescent="0.25">
      <c r="A267" s="289" t="s">
        <v>354</v>
      </c>
      <c r="B267" s="289"/>
      <c r="C267" s="159" t="s">
        <v>355</v>
      </c>
      <c r="D267" s="140"/>
      <c r="E267" s="193" t="s">
        <v>271</v>
      </c>
      <c r="F267" s="345" t="str">
        <f>IF(D267="","",IF(D267&gt;1,"Does not meet design criteria",""))</f>
        <v/>
      </c>
      <c r="G267" s="345"/>
      <c r="H267" s="345"/>
    </row>
    <row r="268" spans="1:8" x14ac:dyDescent="0.25">
      <c r="A268" s="266" t="s">
        <v>356</v>
      </c>
      <c r="B268" s="268"/>
      <c r="C268" s="159" t="s">
        <v>357</v>
      </c>
      <c r="D268" s="62" t="str">
        <f>IF(D267="","",ROUNDUP(D267/D275,0))</f>
        <v/>
      </c>
      <c r="E268" s="193" t="s">
        <v>271</v>
      </c>
      <c r="F268" s="435"/>
      <c r="G268" s="436"/>
      <c r="H268" s="437"/>
    </row>
    <row r="269" spans="1:8" x14ac:dyDescent="0.25">
      <c r="A269" s="289" t="s">
        <v>358</v>
      </c>
      <c r="B269" s="289"/>
      <c r="C269" s="159" t="s">
        <v>217</v>
      </c>
      <c r="D269" s="62" t="str">
        <f>IF(D268="","",ROUNDUP(D265/D268,0))</f>
        <v/>
      </c>
      <c r="E269" s="193"/>
      <c r="F269" s="345"/>
      <c r="G269" s="345"/>
      <c r="H269" s="345"/>
    </row>
    <row r="270" spans="1:8" x14ac:dyDescent="0.25">
      <c r="A270" s="289" t="s">
        <v>612</v>
      </c>
      <c r="B270" s="289"/>
      <c r="C270" s="159" t="s">
        <v>613</v>
      </c>
      <c r="D270" s="179"/>
      <c r="E270" s="193" t="s">
        <v>271</v>
      </c>
      <c r="F270" s="345"/>
      <c r="G270" s="345"/>
      <c r="H270" s="345"/>
    </row>
    <row r="271" spans="1:8" x14ac:dyDescent="0.25">
      <c r="A271" s="289" t="s">
        <v>614</v>
      </c>
      <c r="B271" s="289"/>
      <c r="C271" s="159" t="s">
        <v>615</v>
      </c>
      <c r="D271" s="160">
        <f>D259+(2*D260)*D270</f>
        <v>0</v>
      </c>
      <c r="E271" s="193" t="s">
        <v>271</v>
      </c>
      <c r="F271" s="345"/>
      <c r="G271" s="345"/>
      <c r="H271" s="345"/>
    </row>
    <row r="272" spans="1:8" x14ac:dyDescent="0.25">
      <c r="A272" s="289" t="s">
        <v>616</v>
      </c>
      <c r="B272" s="289"/>
      <c r="C272" s="159" t="s">
        <v>617</v>
      </c>
      <c r="D272" s="173">
        <f>(D270*(D259+D271))/2</f>
        <v>0</v>
      </c>
      <c r="E272" s="193" t="s">
        <v>316</v>
      </c>
      <c r="F272" s="345"/>
      <c r="G272" s="345"/>
      <c r="H272" s="345"/>
    </row>
    <row r="273" spans="1:8" x14ac:dyDescent="0.25">
      <c r="A273" s="289" t="s">
        <v>618</v>
      </c>
      <c r="B273" s="289"/>
      <c r="C273" s="159" t="s">
        <v>619</v>
      </c>
      <c r="D273" s="173">
        <f>D259+((D270^2)+((D260*D270)^2)^0.5)*2</f>
        <v>0</v>
      </c>
      <c r="E273" s="193" t="s">
        <v>271</v>
      </c>
      <c r="F273" s="345"/>
      <c r="G273" s="345"/>
      <c r="H273" s="345"/>
    </row>
    <row r="274" spans="1:8" x14ac:dyDescent="0.25">
      <c r="A274" s="289" t="s">
        <v>620</v>
      </c>
      <c r="B274" s="289"/>
      <c r="C274" s="159" t="s">
        <v>268</v>
      </c>
      <c r="D274" s="180"/>
      <c r="E274" s="193"/>
      <c r="F274" s="345"/>
      <c r="G274" s="345"/>
      <c r="H274" s="345"/>
    </row>
    <row r="275" spans="1:8" x14ac:dyDescent="0.25">
      <c r="A275" s="289" t="s">
        <v>621</v>
      </c>
      <c r="B275" s="289"/>
      <c r="C275" s="159" t="s">
        <v>214</v>
      </c>
      <c r="D275" s="180"/>
      <c r="E275" s="193" t="s">
        <v>266</v>
      </c>
      <c r="F275" s="345" t="str">
        <f>IF(D275="","",IF(D275&lt;0.005,"Does not meet design criteria",IF(D275&gt;0.04,"Does not meet design criteria","")))</f>
        <v/>
      </c>
      <c r="G275" s="345"/>
      <c r="H275" s="345"/>
    </row>
    <row r="276" spans="1:8" x14ac:dyDescent="0.25">
      <c r="A276" s="289" t="s">
        <v>622</v>
      </c>
      <c r="B276" s="289"/>
      <c r="C276" s="159" t="s">
        <v>345</v>
      </c>
      <c r="D276" s="173" t="str">
        <f>IF(D275="","",ROUNDUP((1.49/D274)*((D272/D273)^(2/3))*(D275^(1/2)),2))</f>
        <v/>
      </c>
      <c r="E276" s="193" t="s">
        <v>346</v>
      </c>
      <c r="F276" s="345" t="str">
        <f>IF(D275="","",IF(D276&gt;5,"Does not meet design criteria",""))</f>
        <v/>
      </c>
      <c r="G276" s="345"/>
      <c r="H276" s="345"/>
    </row>
    <row r="277" spans="1:8" x14ac:dyDescent="0.25">
      <c r="A277" s="289" t="s">
        <v>623</v>
      </c>
      <c r="B277" s="289"/>
      <c r="C277" s="159"/>
      <c r="D277" s="140"/>
      <c r="E277" s="193" t="s">
        <v>271</v>
      </c>
      <c r="F277" s="345" t="str">
        <f>IF(D277="","",IF(D277&lt;0.5,"Does not meet design criteria",""))</f>
        <v/>
      </c>
      <c r="G277" s="345"/>
      <c r="H277" s="345"/>
    </row>
    <row r="278" spans="1:8" ht="13" x14ac:dyDescent="0.25">
      <c r="A278" s="390" t="s">
        <v>468</v>
      </c>
      <c r="B278" s="390"/>
      <c r="C278" s="390"/>
      <c r="D278" s="390"/>
      <c r="E278" s="390"/>
      <c r="F278" s="390"/>
      <c r="G278" s="390"/>
      <c r="H278" s="390"/>
    </row>
    <row r="279" spans="1:8" ht="13" x14ac:dyDescent="0.25">
      <c r="A279" s="398" t="s">
        <v>469</v>
      </c>
      <c r="B279" s="399"/>
      <c r="C279" s="400"/>
      <c r="D279" s="181" t="str">
        <f>IF(A252="","",IF(B252="",0,IF(D254="Yes",0,IF(D255="Yes",0,IF(D256&lt;(F252*0.1),0,IF(D259&lt;2,0,IF(D259&gt;8,0,IF(D260&lt;3,0,IF(D275&lt;0.005,0,IF(D275&gt;0.04,0,IF(D265&lt;D264,0,IF(D266&lt;F252,0,IF(D276&gt;5,0,IF(D277&lt;0.5,0,F252))))))))))))))</f>
        <v/>
      </c>
      <c r="E279" s="182" t="s">
        <v>2</v>
      </c>
      <c r="F279" s="440"/>
      <c r="G279" s="441"/>
      <c r="H279" s="441"/>
    </row>
    <row r="280" spans="1:8" ht="13" x14ac:dyDescent="0.25">
      <c r="A280" s="161" t="s">
        <v>56</v>
      </c>
      <c r="B280" s="162" t="str">
        <f>IF('STEP 2-WQv Calculation'!$B$4="","",'STEP 2-WQv Calculation'!$B$4)</f>
        <v/>
      </c>
      <c r="C280" s="163"/>
      <c r="D280" s="163"/>
      <c r="E280" s="163"/>
      <c r="F280" s="163"/>
      <c r="G280" s="163"/>
      <c r="H280" s="163"/>
    </row>
    <row r="281" spans="1:8" ht="13" x14ac:dyDescent="0.3">
      <c r="A281" s="360" t="s">
        <v>293</v>
      </c>
      <c r="B281" s="361"/>
      <c r="C281" s="361"/>
      <c r="D281" s="361"/>
      <c r="E281" s="361"/>
      <c r="F281" s="361"/>
      <c r="G281" s="361"/>
      <c r="H281" s="362"/>
    </row>
    <row r="282" spans="1:8" ht="38.5" x14ac:dyDescent="0.25">
      <c r="A282" s="164" t="s">
        <v>60</v>
      </c>
      <c r="B282" s="165" t="s">
        <v>600</v>
      </c>
      <c r="C282" s="165" t="s">
        <v>601</v>
      </c>
      <c r="D282" s="165" t="s">
        <v>602</v>
      </c>
      <c r="E282" s="165" t="s">
        <v>64</v>
      </c>
      <c r="F282" s="165" t="s">
        <v>603</v>
      </c>
      <c r="G282" s="165" t="s">
        <v>604</v>
      </c>
      <c r="H282" s="166" t="s">
        <v>13</v>
      </c>
    </row>
    <row r="283" spans="1:8" x14ac:dyDescent="0.25">
      <c r="A283" s="178"/>
      <c r="B283" s="167" t="str">
        <f>IF($A283="","",(LOOKUP($A283,'STEP 2-WQv Calculation'!$A$8:$A$37,'STEP 2-WQv Calculation'!$B$8:$B$37)))</f>
        <v/>
      </c>
      <c r="C283" s="167" t="str">
        <f>IF($A283="","",(LOOKUP($A283,'STEP 2-WQv Calculation'!$A$8:$A$37,'STEP 2-WQv Calculation'!$C$8:$C$37)))</f>
        <v/>
      </c>
      <c r="D283" s="168" t="str">
        <f>IF($A283="","",(LOOKUP($A283,'STEP 2-WQv Calculation'!$A$8:$A$37,'STEP 2-WQv Calculation'!$D$8:$D$37)))</f>
        <v/>
      </c>
      <c r="E283" s="167" t="str">
        <f>IF($A283="","",(LOOKUP($A283,'STEP 2-WQv Calculation'!$A$8:$A$37,'STEP 2-WQv Calculation'!$E$8:$E$37)))</f>
        <v/>
      </c>
      <c r="F283" s="169" t="str">
        <f>IF($A283="","",(LOOKUP($A283,'STEP 2-WQv Calculation'!$A$8:$A$37,'STEP 2-WQv Calculation'!$F$8:$F$37)))</f>
        <v/>
      </c>
      <c r="G283" s="170">
        <f>'STEP 2-WQv Calculation'!$B$5</f>
        <v>0</v>
      </c>
      <c r="H283" s="171" t="str">
        <f>IF($A283="","",(LOOKUP($A283,'STEP 2-WQv Calculation'!$A$8:$A$37,'STEP 2-WQv Calculation'!$G$8:$G$37)))</f>
        <v/>
      </c>
    </row>
    <row r="284" spans="1:8" ht="13" x14ac:dyDescent="0.3">
      <c r="A284" s="360" t="s">
        <v>226</v>
      </c>
      <c r="B284" s="361"/>
      <c r="C284" s="361"/>
      <c r="D284" s="361"/>
      <c r="E284" s="361"/>
      <c r="F284" s="361"/>
      <c r="G284" s="361"/>
      <c r="H284" s="362"/>
    </row>
    <row r="285" spans="1:8" x14ac:dyDescent="0.25">
      <c r="A285" s="242" t="s">
        <v>592</v>
      </c>
      <c r="B285" s="243"/>
      <c r="C285" s="244"/>
      <c r="D285" s="139"/>
      <c r="E285" s="322" t="str">
        <f>IF(D285="Yes","Does not meet design criteria","")</f>
        <v/>
      </c>
      <c r="F285" s="323"/>
      <c r="G285" s="323"/>
      <c r="H285" s="324"/>
    </row>
    <row r="286" spans="1:8" x14ac:dyDescent="0.25">
      <c r="A286" s="242" t="s">
        <v>326</v>
      </c>
      <c r="B286" s="243"/>
      <c r="C286" s="244"/>
      <c r="D286" s="135" t="str">
        <f>IF(B283="","",IF(B283&gt;5,"Yes","No"))</f>
        <v/>
      </c>
      <c r="E286" s="322" t="str">
        <f>IF(D286="Yes","Does not meet design criteria","")</f>
        <v/>
      </c>
      <c r="F286" s="323"/>
      <c r="G286" s="323"/>
      <c r="H286" s="324"/>
    </row>
    <row r="287" spans="1:8" x14ac:dyDescent="0.25">
      <c r="A287" s="242" t="s">
        <v>507</v>
      </c>
      <c r="B287" s="243"/>
      <c r="C287" s="244"/>
      <c r="D287" s="139"/>
      <c r="E287" s="322" t="str">
        <f>IF(D287="","",IF(D287&lt;(F283*0.1),"Does not meet design crtieria",""))</f>
        <v/>
      </c>
      <c r="F287" s="323"/>
      <c r="G287" s="323"/>
      <c r="H287" s="324"/>
    </row>
    <row r="288" spans="1:8" ht="13" x14ac:dyDescent="0.3">
      <c r="A288" s="433" t="s">
        <v>232</v>
      </c>
      <c r="B288" s="434"/>
      <c r="C288" s="434"/>
      <c r="D288" s="361"/>
      <c r="E288" s="361"/>
      <c r="F288" s="361"/>
      <c r="G288" s="361"/>
      <c r="H288" s="362"/>
    </row>
    <row r="289" spans="1:8" ht="13" x14ac:dyDescent="0.3">
      <c r="A289" s="346"/>
      <c r="B289" s="347"/>
      <c r="C289" s="348"/>
      <c r="D289" s="47" t="s">
        <v>256</v>
      </c>
      <c r="E289" s="48" t="s">
        <v>257</v>
      </c>
      <c r="F289" s="349" t="s">
        <v>258</v>
      </c>
      <c r="G289" s="350"/>
      <c r="H289" s="351"/>
    </row>
    <row r="290" spans="1:8" x14ac:dyDescent="0.25">
      <c r="A290" s="289" t="s">
        <v>331</v>
      </c>
      <c r="B290" s="289"/>
      <c r="C290" s="159" t="s">
        <v>332</v>
      </c>
      <c r="D290" s="140"/>
      <c r="E290" s="193" t="s">
        <v>271</v>
      </c>
      <c r="F290" s="345" t="str">
        <f>IF(D290="","",IF(D290&lt;2,"Does not meet design criteria",IF(D290&gt;8,"Does not meet design criteria","")))</f>
        <v/>
      </c>
      <c r="G290" s="345"/>
      <c r="H290" s="345"/>
    </row>
    <row r="291" spans="1:8" x14ac:dyDescent="0.25">
      <c r="A291" s="289" t="s">
        <v>606</v>
      </c>
      <c r="B291" s="289"/>
      <c r="C291" s="159" t="s">
        <v>336</v>
      </c>
      <c r="D291" s="179"/>
      <c r="E291" s="193" t="s">
        <v>337</v>
      </c>
      <c r="F291" s="345" t="str">
        <f>IF(D291="","",IF(D291&lt;3,"Does not meet design criteria",""))</f>
        <v/>
      </c>
      <c r="G291" s="345"/>
      <c r="H291" s="345"/>
    </row>
    <row r="292" spans="1:8" x14ac:dyDescent="0.25">
      <c r="A292" s="289" t="s">
        <v>333</v>
      </c>
      <c r="B292" s="289"/>
      <c r="C292" s="159" t="s">
        <v>334</v>
      </c>
      <c r="D292" s="179"/>
      <c r="E292" s="193" t="s">
        <v>271</v>
      </c>
      <c r="F292" s="345"/>
      <c r="G292" s="345"/>
      <c r="H292" s="345"/>
    </row>
    <row r="293" spans="1:8" x14ac:dyDescent="0.25">
      <c r="A293" s="289" t="s">
        <v>338</v>
      </c>
      <c r="B293" s="289"/>
      <c r="C293" s="159" t="s">
        <v>339</v>
      </c>
      <c r="D293" s="160">
        <f>D290+(2*D291)*D292</f>
        <v>0</v>
      </c>
      <c r="E293" s="193" t="s">
        <v>271</v>
      </c>
      <c r="F293" s="345"/>
      <c r="G293" s="345"/>
      <c r="H293" s="345"/>
    </row>
    <row r="294" spans="1:8" x14ac:dyDescent="0.25">
      <c r="A294" s="289" t="s">
        <v>607</v>
      </c>
      <c r="B294" s="289"/>
      <c r="C294" s="159" t="s">
        <v>343</v>
      </c>
      <c r="D294" s="173">
        <f>(D293+D290)*D292/2</f>
        <v>0</v>
      </c>
      <c r="E294" s="193" t="s">
        <v>316</v>
      </c>
      <c r="F294" s="345"/>
      <c r="G294" s="345"/>
      <c r="H294" s="345"/>
    </row>
    <row r="295" spans="1:8" x14ac:dyDescent="0.25">
      <c r="A295" s="289" t="s">
        <v>608</v>
      </c>
      <c r="B295" s="289"/>
      <c r="C295" s="159" t="s">
        <v>349</v>
      </c>
      <c r="D295" s="173" t="e">
        <f>IF(D293="","",ROUNDUP(F283/D294,0))</f>
        <v>#VALUE!</v>
      </c>
      <c r="E295" s="193" t="s">
        <v>271</v>
      </c>
      <c r="F295" s="345"/>
      <c r="G295" s="345"/>
      <c r="H295" s="345"/>
    </row>
    <row r="296" spans="1:8" x14ac:dyDescent="0.25">
      <c r="A296" s="289" t="s">
        <v>609</v>
      </c>
      <c r="B296" s="289"/>
      <c r="C296" s="159" t="s">
        <v>351</v>
      </c>
      <c r="D296" s="140"/>
      <c r="E296" s="193" t="s">
        <v>271</v>
      </c>
      <c r="F296" s="345" t="str">
        <f>IF(D296="","",IF(D296&lt;D295,"Does not meet design criteria",""))</f>
        <v/>
      </c>
      <c r="G296" s="345"/>
      <c r="H296" s="345"/>
    </row>
    <row r="297" spans="1:8" x14ac:dyDescent="0.25">
      <c r="A297" s="289" t="s">
        <v>610</v>
      </c>
      <c r="B297" s="289"/>
      <c r="C297" s="159" t="s">
        <v>611</v>
      </c>
      <c r="D297" s="174">
        <f>IF(D294="","",D294*D296)</f>
        <v>0</v>
      </c>
      <c r="E297" s="193" t="s">
        <v>2</v>
      </c>
      <c r="F297" s="345" t="str">
        <f>IF(D293="","",IF(D297&lt;D293,"Does not meet sizing criteria",""))</f>
        <v/>
      </c>
      <c r="G297" s="345"/>
      <c r="H297" s="345"/>
    </row>
    <row r="298" spans="1:8" x14ac:dyDescent="0.25">
      <c r="A298" s="289" t="s">
        <v>354</v>
      </c>
      <c r="B298" s="289"/>
      <c r="C298" s="159" t="s">
        <v>355</v>
      </c>
      <c r="D298" s="140"/>
      <c r="E298" s="193" t="s">
        <v>271</v>
      </c>
      <c r="F298" s="345" t="str">
        <f>IF(D298="","",IF(D298&gt;1,"Does not meet design criteria",""))</f>
        <v/>
      </c>
      <c r="G298" s="345"/>
      <c r="H298" s="345"/>
    </row>
    <row r="299" spans="1:8" x14ac:dyDescent="0.25">
      <c r="A299" s="266" t="s">
        <v>356</v>
      </c>
      <c r="B299" s="268"/>
      <c r="C299" s="159" t="s">
        <v>357</v>
      </c>
      <c r="D299" s="62" t="str">
        <f>IF(D298="","",ROUNDUP(D298/D306,0))</f>
        <v/>
      </c>
      <c r="E299" s="193" t="s">
        <v>271</v>
      </c>
      <c r="F299" s="435"/>
      <c r="G299" s="436"/>
      <c r="H299" s="437"/>
    </row>
    <row r="300" spans="1:8" x14ac:dyDescent="0.25">
      <c r="A300" s="289" t="s">
        <v>358</v>
      </c>
      <c r="B300" s="289"/>
      <c r="C300" s="159" t="s">
        <v>217</v>
      </c>
      <c r="D300" s="62" t="str">
        <f>IF(D299="","",ROUNDUP(D296/D299,0))</f>
        <v/>
      </c>
      <c r="E300" s="193"/>
      <c r="F300" s="345"/>
      <c r="G300" s="345"/>
      <c r="H300" s="345"/>
    </row>
    <row r="301" spans="1:8" x14ac:dyDescent="0.25">
      <c r="A301" s="289" t="s">
        <v>612</v>
      </c>
      <c r="B301" s="289"/>
      <c r="C301" s="159" t="s">
        <v>613</v>
      </c>
      <c r="D301" s="179"/>
      <c r="E301" s="193" t="s">
        <v>271</v>
      </c>
      <c r="F301" s="345"/>
      <c r="G301" s="345"/>
      <c r="H301" s="345"/>
    </row>
    <row r="302" spans="1:8" x14ac:dyDescent="0.25">
      <c r="A302" s="289" t="s">
        <v>614</v>
      </c>
      <c r="B302" s="289"/>
      <c r="C302" s="159" t="s">
        <v>615</v>
      </c>
      <c r="D302" s="160">
        <f>D290+(2*D291)*D301</f>
        <v>0</v>
      </c>
      <c r="E302" s="193" t="s">
        <v>271</v>
      </c>
      <c r="F302" s="345"/>
      <c r="G302" s="345"/>
      <c r="H302" s="345"/>
    </row>
    <row r="303" spans="1:8" x14ac:dyDescent="0.25">
      <c r="A303" s="289" t="s">
        <v>616</v>
      </c>
      <c r="B303" s="289"/>
      <c r="C303" s="159" t="s">
        <v>617</v>
      </c>
      <c r="D303" s="173">
        <f>(D301*(D290+D302))/2</f>
        <v>0</v>
      </c>
      <c r="E303" s="193" t="s">
        <v>316</v>
      </c>
      <c r="F303" s="345"/>
      <c r="G303" s="345"/>
      <c r="H303" s="345"/>
    </row>
    <row r="304" spans="1:8" x14ac:dyDescent="0.25">
      <c r="A304" s="289" t="s">
        <v>618</v>
      </c>
      <c r="B304" s="289"/>
      <c r="C304" s="159" t="s">
        <v>619</v>
      </c>
      <c r="D304" s="173">
        <f>D290+((D301^2)+((D291*D301)^2)^0.5)*2</f>
        <v>0</v>
      </c>
      <c r="E304" s="193" t="s">
        <v>271</v>
      </c>
      <c r="F304" s="345"/>
      <c r="G304" s="345"/>
      <c r="H304" s="345"/>
    </row>
    <row r="305" spans="1:8" x14ac:dyDescent="0.25">
      <c r="A305" s="289" t="s">
        <v>620</v>
      </c>
      <c r="B305" s="289"/>
      <c r="C305" s="159" t="s">
        <v>268</v>
      </c>
      <c r="D305" s="180"/>
      <c r="E305" s="193"/>
      <c r="F305" s="345"/>
      <c r="G305" s="345"/>
      <c r="H305" s="345"/>
    </row>
    <row r="306" spans="1:8" x14ac:dyDescent="0.25">
      <c r="A306" s="289" t="s">
        <v>621</v>
      </c>
      <c r="B306" s="289"/>
      <c r="C306" s="159" t="s">
        <v>214</v>
      </c>
      <c r="D306" s="180"/>
      <c r="E306" s="193" t="s">
        <v>266</v>
      </c>
      <c r="F306" s="345" t="str">
        <f>IF(D306="","",IF(D306&lt;0.005,"Does not meet design criteria",IF(D306&gt;0.04,"Does not meet design criteria","")))</f>
        <v/>
      </c>
      <c r="G306" s="345"/>
      <c r="H306" s="345"/>
    </row>
    <row r="307" spans="1:8" x14ac:dyDescent="0.25">
      <c r="A307" s="289" t="s">
        <v>622</v>
      </c>
      <c r="B307" s="289"/>
      <c r="C307" s="159" t="s">
        <v>345</v>
      </c>
      <c r="D307" s="173" t="str">
        <f>IF(D306="","",ROUNDUP((1.49/D305)*((D303/D304)^(2/3))*(D306^(1/2)),2))</f>
        <v/>
      </c>
      <c r="E307" s="193" t="s">
        <v>346</v>
      </c>
      <c r="F307" s="345" t="str">
        <f>IF(D306="","",IF(D307&gt;5,"Does not meet design criteria",""))</f>
        <v/>
      </c>
      <c r="G307" s="345"/>
      <c r="H307" s="345"/>
    </row>
    <row r="308" spans="1:8" x14ac:dyDescent="0.25">
      <c r="A308" s="289" t="s">
        <v>623</v>
      </c>
      <c r="B308" s="289"/>
      <c r="C308" s="159"/>
      <c r="D308" s="140"/>
      <c r="E308" s="193" t="s">
        <v>271</v>
      </c>
      <c r="F308" s="345" t="str">
        <f>IF(D308="","",IF(D308&lt;0.5,"Does not meet design criteria",""))</f>
        <v/>
      </c>
      <c r="G308" s="345"/>
      <c r="H308" s="345"/>
    </row>
    <row r="309" spans="1:8" ht="13" x14ac:dyDescent="0.25">
      <c r="A309" s="390" t="s">
        <v>468</v>
      </c>
      <c r="B309" s="390"/>
      <c r="C309" s="390"/>
      <c r="D309" s="390"/>
      <c r="E309" s="390"/>
      <c r="F309" s="390"/>
      <c r="G309" s="390"/>
      <c r="H309" s="390"/>
    </row>
    <row r="310" spans="1:8" ht="13" x14ac:dyDescent="0.25">
      <c r="A310" s="398" t="s">
        <v>469</v>
      </c>
      <c r="B310" s="399"/>
      <c r="C310" s="400"/>
      <c r="D310" s="181" t="str">
        <f>IF(A283="","",IF(B283="",0,IF(D285="Yes",0,IF(D286="Yes",0,IF(D287&lt;(F283*0.1),0,IF(D290&lt;2,0,IF(D290&gt;8,0,IF(D291&lt;3,0,IF(D306&lt;0.005,0,IF(D306&gt;0.04,0,IF(D296&lt;D295,0,IF(D297&lt;F283,0,IF(D307&gt;5,0,IF(D308&lt;0.5,0,F283))))))))))))))</f>
        <v/>
      </c>
      <c r="E310" s="182" t="s">
        <v>2</v>
      </c>
      <c r="F310" s="440"/>
      <c r="G310" s="441"/>
      <c r="H310" s="441"/>
    </row>
  </sheetData>
  <sheetProtection algorithmName="SHA-512" hashValue="hPCXjLXiQEgO+HapB0nRjjoOAJTfvS9jMTzo0nUM2F45jxyozrZ3+Z6x9uSQ9/uNyCWbFVvr5r+BbUM6NPbfCw==" saltValue="icl8kqubxGPkKGU/XtNiNQ==" spinCount="100000" sheet="1" formatColumns="0" formatRows="0"/>
  <mergeCells count="524">
    <mergeCell ref="A306:B306"/>
    <mergeCell ref="F306:H306"/>
    <mergeCell ref="A307:B307"/>
    <mergeCell ref="F307:H307"/>
    <mergeCell ref="A308:B308"/>
    <mergeCell ref="F308:H308"/>
    <mergeCell ref="A309:H309"/>
    <mergeCell ref="A310:C310"/>
    <mergeCell ref="F310:H310"/>
    <mergeCell ref="A301:B301"/>
    <mergeCell ref="F301:H301"/>
    <mergeCell ref="A302:B302"/>
    <mergeCell ref="F302:H302"/>
    <mergeCell ref="A303:B303"/>
    <mergeCell ref="F303:H303"/>
    <mergeCell ref="A304:B304"/>
    <mergeCell ref="F304:H304"/>
    <mergeCell ref="A305:B305"/>
    <mergeCell ref="F305:H305"/>
    <mergeCell ref="A296:B296"/>
    <mergeCell ref="F296:H296"/>
    <mergeCell ref="A297:B297"/>
    <mergeCell ref="F297:H297"/>
    <mergeCell ref="A298:B298"/>
    <mergeCell ref="F298:H298"/>
    <mergeCell ref="A299:B299"/>
    <mergeCell ref="F299:H299"/>
    <mergeCell ref="A300:B300"/>
    <mergeCell ref="F300:H300"/>
    <mergeCell ref="A291:B291"/>
    <mergeCell ref="F291:H291"/>
    <mergeCell ref="A292:B292"/>
    <mergeCell ref="F292:H292"/>
    <mergeCell ref="A293:B293"/>
    <mergeCell ref="F293:H293"/>
    <mergeCell ref="A294:B294"/>
    <mergeCell ref="F294:H294"/>
    <mergeCell ref="A295:B295"/>
    <mergeCell ref="F295:H295"/>
    <mergeCell ref="A286:C286"/>
    <mergeCell ref="E286:H286"/>
    <mergeCell ref="A287:C287"/>
    <mergeCell ref="E287:H287"/>
    <mergeCell ref="A288:H288"/>
    <mergeCell ref="A289:C289"/>
    <mergeCell ref="F289:H289"/>
    <mergeCell ref="A290:B290"/>
    <mergeCell ref="F290:H290"/>
    <mergeCell ref="A277:B277"/>
    <mergeCell ref="F277:H277"/>
    <mergeCell ref="A278:H278"/>
    <mergeCell ref="A279:C279"/>
    <mergeCell ref="F279:H279"/>
    <mergeCell ref="A281:H281"/>
    <mergeCell ref="A284:H284"/>
    <mergeCell ref="A285:C285"/>
    <mergeCell ref="E285:H285"/>
    <mergeCell ref="A272:B272"/>
    <mergeCell ref="F272:H272"/>
    <mergeCell ref="A273:B273"/>
    <mergeCell ref="F273:H273"/>
    <mergeCell ref="A274:B274"/>
    <mergeCell ref="F274:H274"/>
    <mergeCell ref="A275:B275"/>
    <mergeCell ref="F275:H275"/>
    <mergeCell ref="A276:B276"/>
    <mergeCell ref="F276:H276"/>
    <mergeCell ref="A267:B267"/>
    <mergeCell ref="F267:H267"/>
    <mergeCell ref="A268:B268"/>
    <mergeCell ref="F268:H268"/>
    <mergeCell ref="A269:B269"/>
    <mergeCell ref="F269:H269"/>
    <mergeCell ref="A270:B270"/>
    <mergeCell ref="F270:H270"/>
    <mergeCell ref="A271:B271"/>
    <mergeCell ref="F271:H271"/>
    <mergeCell ref="A262:B262"/>
    <mergeCell ref="F262:H262"/>
    <mergeCell ref="A263:B263"/>
    <mergeCell ref="F263:H263"/>
    <mergeCell ref="A264:B264"/>
    <mergeCell ref="F264:H264"/>
    <mergeCell ref="A265:B265"/>
    <mergeCell ref="F265:H265"/>
    <mergeCell ref="A266:B266"/>
    <mergeCell ref="F266:H266"/>
    <mergeCell ref="A257:H257"/>
    <mergeCell ref="A258:C258"/>
    <mergeCell ref="F258:H258"/>
    <mergeCell ref="A259:B259"/>
    <mergeCell ref="F259:H259"/>
    <mergeCell ref="A260:B260"/>
    <mergeCell ref="F260:H260"/>
    <mergeCell ref="A261:B261"/>
    <mergeCell ref="F261:H261"/>
    <mergeCell ref="A248:C248"/>
    <mergeCell ref="F248:H248"/>
    <mergeCell ref="A250:H250"/>
    <mergeCell ref="A253:H253"/>
    <mergeCell ref="A254:C254"/>
    <mergeCell ref="E254:H254"/>
    <mergeCell ref="A255:C255"/>
    <mergeCell ref="E255:H255"/>
    <mergeCell ref="A256:C256"/>
    <mergeCell ref="E256:H256"/>
    <mergeCell ref="A243:B243"/>
    <mergeCell ref="F243:H243"/>
    <mergeCell ref="A244:B244"/>
    <mergeCell ref="F244:H244"/>
    <mergeCell ref="A245:B245"/>
    <mergeCell ref="F245:H245"/>
    <mergeCell ref="A246:B246"/>
    <mergeCell ref="F246:H246"/>
    <mergeCell ref="A247:H247"/>
    <mergeCell ref="A238:B238"/>
    <mergeCell ref="F238:H238"/>
    <mergeCell ref="A239:B239"/>
    <mergeCell ref="F239:H239"/>
    <mergeCell ref="A240:B240"/>
    <mergeCell ref="F240:H240"/>
    <mergeCell ref="A241:B241"/>
    <mergeCell ref="F241:H241"/>
    <mergeCell ref="A242:B242"/>
    <mergeCell ref="F242:H242"/>
    <mergeCell ref="A233:B233"/>
    <mergeCell ref="F233:H233"/>
    <mergeCell ref="A234:B234"/>
    <mergeCell ref="F234:H234"/>
    <mergeCell ref="A235:B235"/>
    <mergeCell ref="F235:H235"/>
    <mergeCell ref="A236:B236"/>
    <mergeCell ref="F236:H236"/>
    <mergeCell ref="A237:B237"/>
    <mergeCell ref="F237:H237"/>
    <mergeCell ref="A228:B228"/>
    <mergeCell ref="F228:H228"/>
    <mergeCell ref="A229:B229"/>
    <mergeCell ref="F229:H229"/>
    <mergeCell ref="A230:B230"/>
    <mergeCell ref="F230:H230"/>
    <mergeCell ref="A231:B231"/>
    <mergeCell ref="F231:H231"/>
    <mergeCell ref="A232:B232"/>
    <mergeCell ref="F232:H232"/>
    <mergeCell ref="A223:C223"/>
    <mergeCell ref="E223:H223"/>
    <mergeCell ref="A224:C224"/>
    <mergeCell ref="E224:H224"/>
    <mergeCell ref="A225:C225"/>
    <mergeCell ref="E225:H225"/>
    <mergeCell ref="A226:H226"/>
    <mergeCell ref="A227:C227"/>
    <mergeCell ref="F227:H227"/>
    <mergeCell ref="A214:B214"/>
    <mergeCell ref="F214:H214"/>
    <mergeCell ref="A215:B215"/>
    <mergeCell ref="F215:H215"/>
    <mergeCell ref="A216:H216"/>
    <mergeCell ref="A217:C217"/>
    <mergeCell ref="F217:H217"/>
    <mergeCell ref="A219:H219"/>
    <mergeCell ref="A222:H222"/>
    <mergeCell ref="A209:B209"/>
    <mergeCell ref="F209:H209"/>
    <mergeCell ref="A210:B210"/>
    <mergeCell ref="F210:H210"/>
    <mergeCell ref="A211:B211"/>
    <mergeCell ref="F211:H211"/>
    <mergeCell ref="A212:B212"/>
    <mergeCell ref="F212:H212"/>
    <mergeCell ref="A213:B213"/>
    <mergeCell ref="F213:H213"/>
    <mergeCell ref="A204:B204"/>
    <mergeCell ref="F204:H204"/>
    <mergeCell ref="A205:B205"/>
    <mergeCell ref="F205:H205"/>
    <mergeCell ref="A206:B206"/>
    <mergeCell ref="F206:H206"/>
    <mergeCell ref="A207:B207"/>
    <mergeCell ref="F207:H207"/>
    <mergeCell ref="A208:B208"/>
    <mergeCell ref="F208:H208"/>
    <mergeCell ref="A199:B199"/>
    <mergeCell ref="F199:H199"/>
    <mergeCell ref="A200:B200"/>
    <mergeCell ref="F200:H200"/>
    <mergeCell ref="A201:B201"/>
    <mergeCell ref="F201:H201"/>
    <mergeCell ref="A202:B202"/>
    <mergeCell ref="F202:H202"/>
    <mergeCell ref="A203:B203"/>
    <mergeCell ref="F203:H203"/>
    <mergeCell ref="A194:C194"/>
    <mergeCell ref="E194:H194"/>
    <mergeCell ref="A195:H195"/>
    <mergeCell ref="A196:C196"/>
    <mergeCell ref="F196:H196"/>
    <mergeCell ref="A197:B197"/>
    <mergeCell ref="F197:H197"/>
    <mergeCell ref="A198:B198"/>
    <mergeCell ref="F198:H198"/>
    <mergeCell ref="A185:H185"/>
    <mergeCell ref="A186:C186"/>
    <mergeCell ref="F186:H186"/>
    <mergeCell ref="A188:H188"/>
    <mergeCell ref="A191:H191"/>
    <mergeCell ref="A192:C192"/>
    <mergeCell ref="E192:H192"/>
    <mergeCell ref="A193:C193"/>
    <mergeCell ref="E193:H193"/>
    <mergeCell ref="A180:B180"/>
    <mergeCell ref="F180:H180"/>
    <mergeCell ref="A181:B181"/>
    <mergeCell ref="F181:H181"/>
    <mergeCell ref="A182:B182"/>
    <mergeCell ref="F182:H182"/>
    <mergeCell ref="A183:B183"/>
    <mergeCell ref="F183:H183"/>
    <mergeCell ref="A184:B184"/>
    <mergeCell ref="F184:H184"/>
    <mergeCell ref="A175:B175"/>
    <mergeCell ref="F175:H175"/>
    <mergeCell ref="A176:B176"/>
    <mergeCell ref="F176:H176"/>
    <mergeCell ref="A177:B177"/>
    <mergeCell ref="F177:H177"/>
    <mergeCell ref="A178:B178"/>
    <mergeCell ref="F178:H178"/>
    <mergeCell ref="A179:B179"/>
    <mergeCell ref="F179:H179"/>
    <mergeCell ref="A170:B170"/>
    <mergeCell ref="F170:H170"/>
    <mergeCell ref="A171:B171"/>
    <mergeCell ref="F171:H171"/>
    <mergeCell ref="A172:B172"/>
    <mergeCell ref="F172:H172"/>
    <mergeCell ref="A173:B173"/>
    <mergeCell ref="F173:H173"/>
    <mergeCell ref="A174:B174"/>
    <mergeCell ref="F174:H174"/>
    <mergeCell ref="A165:C165"/>
    <mergeCell ref="F165:H165"/>
    <mergeCell ref="A166:B166"/>
    <mergeCell ref="F166:H166"/>
    <mergeCell ref="A167:B167"/>
    <mergeCell ref="F167:H167"/>
    <mergeCell ref="A168:B168"/>
    <mergeCell ref="F168:H168"/>
    <mergeCell ref="A169:B169"/>
    <mergeCell ref="F169:H169"/>
    <mergeCell ref="A157:H157"/>
    <mergeCell ref="A160:H160"/>
    <mergeCell ref="A161:C161"/>
    <mergeCell ref="E161:H161"/>
    <mergeCell ref="A162:C162"/>
    <mergeCell ref="E162:H162"/>
    <mergeCell ref="A163:C163"/>
    <mergeCell ref="E163:H163"/>
    <mergeCell ref="A164:H164"/>
    <mergeCell ref="A23:B23"/>
    <mergeCell ref="F23:H23"/>
    <mergeCell ref="A24:B24"/>
    <mergeCell ref="F24:H24"/>
    <mergeCell ref="A30:H30"/>
    <mergeCell ref="A31:C31"/>
    <mergeCell ref="F31:H31"/>
    <mergeCell ref="A25:B25"/>
    <mergeCell ref="F25:H25"/>
    <mergeCell ref="A26:B26"/>
    <mergeCell ref="F26:H26"/>
    <mergeCell ref="A27:B27"/>
    <mergeCell ref="F27:H27"/>
    <mergeCell ref="A18:B18"/>
    <mergeCell ref="F18:H18"/>
    <mergeCell ref="A19:B19"/>
    <mergeCell ref="F19:H19"/>
    <mergeCell ref="A20:B20"/>
    <mergeCell ref="F20:H20"/>
    <mergeCell ref="A21:B21"/>
    <mergeCell ref="F21:H21"/>
    <mergeCell ref="A22:B22"/>
    <mergeCell ref="F22:H22"/>
    <mergeCell ref="A13:B13"/>
    <mergeCell ref="F13:H13"/>
    <mergeCell ref="A14:B14"/>
    <mergeCell ref="F14:H14"/>
    <mergeCell ref="A15:B15"/>
    <mergeCell ref="F15:H15"/>
    <mergeCell ref="A16:B16"/>
    <mergeCell ref="F16:H16"/>
    <mergeCell ref="A17:B17"/>
    <mergeCell ref="F17:H17"/>
    <mergeCell ref="A2:H2"/>
    <mergeCell ref="I2:J2"/>
    <mergeCell ref="I3:J3"/>
    <mergeCell ref="I4:J4"/>
    <mergeCell ref="A5:H5"/>
    <mergeCell ref="I5:J5"/>
    <mergeCell ref="A12:B12"/>
    <mergeCell ref="F12:H12"/>
    <mergeCell ref="A8:C8"/>
    <mergeCell ref="E8:H8"/>
    <mergeCell ref="A6:C6"/>
    <mergeCell ref="E6:H6"/>
    <mergeCell ref="A7:C7"/>
    <mergeCell ref="E7:H7"/>
    <mergeCell ref="A9:H9"/>
    <mergeCell ref="A10:C10"/>
    <mergeCell ref="F10:H10"/>
    <mergeCell ref="A11:B11"/>
    <mergeCell ref="F11:H11"/>
    <mergeCell ref="A39:C39"/>
    <mergeCell ref="E39:H39"/>
    <mergeCell ref="A40:H40"/>
    <mergeCell ref="A41:C41"/>
    <mergeCell ref="F41:H41"/>
    <mergeCell ref="A33:H33"/>
    <mergeCell ref="A36:H36"/>
    <mergeCell ref="A37:C37"/>
    <mergeCell ref="E37:H37"/>
    <mergeCell ref="A38:C38"/>
    <mergeCell ref="E38:H38"/>
    <mergeCell ref="A45:B45"/>
    <mergeCell ref="F45:H45"/>
    <mergeCell ref="A46:B46"/>
    <mergeCell ref="F46:H46"/>
    <mergeCell ref="A47:B47"/>
    <mergeCell ref="F47:H47"/>
    <mergeCell ref="A42:B42"/>
    <mergeCell ref="F42:H42"/>
    <mergeCell ref="A43:B43"/>
    <mergeCell ref="F43:H43"/>
    <mergeCell ref="A44:B44"/>
    <mergeCell ref="F44:H44"/>
    <mergeCell ref="A51:B51"/>
    <mergeCell ref="F51:H51"/>
    <mergeCell ref="A52:B52"/>
    <mergeCell ref="F52:H52"/>
    <mergeCell ref="A53:B53"/>
    <mergeCell ref="F53:H53"/>
    <mergeCell ref="A48:B48"/>
    <mergeCell ref="F48:H48"/>
    <mergeCell ref="A49:B49"/>
    <mergeCell ref="F49:H49"/>
    <mergeCell ref="A50:B50"/>
    <mergeCell ref="F50:H50"/>
    <mergeCell ref="A57:B57"/>
    <mergeCell ref="F57:H57"/>
    <mergeCell ref="A58:B58"/>
    <mergeCell ref="F58:H58"/>
    <mergeCell ref="A61:H61"/>
    <mergeCell ref="A54:B54"/>
    <mergeCell ref="F54:H54"/>
    <mergeCell ref="A55:B55"/>
    <mergeCell ref="F55:H55"/>
    <mergeCell ref="A56:B56"/>
    <mergeCell ref="F56:H56"/>
    <mergeCell ref="A69:C69"/>
    <mergeCell ref="E69:H69"/>
    <mergeCell ref="A70:C70"/>
    <mergeCell ref="E70:H70"/>
    <mergeCell ref="A71:H71"/>
    <mergeCell ref="A62:C62"/>
    <mergeCell ref="F62:H62"/>
    <mergeCell ref="A64:H64"/>
    <mergeCell ref="A67:H67"/>
    <mergeCell ref="A68:C68"/>
    <mergeCell ref="E68:H68"/>
    <mergeCell ref="A75:B75"/>
    <mergeCell ref="F75:H75"/>
    <mergeCell ref="A76:B76"/>
    <mergeCell ref="F76:H76"/>
    <mergeCell ref="A77:B77"/>
    <mergeCell ref="F77:H77"/>
    <mergeCell ref="A72:C72"/>
    <mergeCell ref="F72:H72"/>
    <mergeCell ref="A73:B73"/>
    <mergeCell ref="F73:H73"/>
    <mergeCell ref="A74:B74"/>
    <mergeCell ref="F74:H74"/>
    <mergeCell ref="A81:B81"/>
    <mergeCell ref="F81:H81"/>
    <mergeCell ref="A82:B82"/>
    <mergeCell ref="F82:H82"/>
    <mergeCell ref="A83:B83"/>
    <mergeCell ref="F83:H83"/>
    <mergeCell ref="A78:B78"/>
    <mergeCell ref="F78:H78"/>
    <mergeCell ref="A79:B79"/>
    <mergeCell ref="F79:H79"/>
    <mergeCell ref="A80:B80"/>
    <mergeCell ref="F80:H80"/>
    <mergeCell ref="A87:B87"/>
    <mergeCell ref="F87:H87"/>
    <mergeCell ref="A88:B88"/>
    <mergeCell ref="F88:H88"/>
    <mergeCell ref="A89:B89"/>
    <mergeCell ref="F89:H89"/>
    <mergeCell ref="A91:B91"/>
    <mergeCell ref="F91:H91"/>
    <mergeCell ref="A84:B84"/>
    <mergeCell ref="F84:H84"/>
    <mergeCell ref="A85:B85"/>
    <mergeCell ref="F85:H85"/>
    <mergeCell ref="A86:B86"/>
    <mergeCell ref="F86:H86"/>
    <mergeCell ref="A99:C99"/>
    <mergeCell ref="E99:H99"/>
    <mergeCell ref="A100:C100"/>
    <mergeCell ref="E100:H100"/>
    <mergeCell ref="A101:C101"/>
    <mergeCell ref="E101:H101"/>
    <mergeCell ref="A92:H92"/>
    <mergeCell ref="A93:C93"/>
    <mergeCell ref="F93:H93"/>
    <mergeCell ref="A95:H95"/>
    <mergeCell ref="A98:H98"/>
    <mergeCell ref="A105:B105"/>
    <mergeCell ref="F105:H105"/>
    <mergeCell ref="A106:B106"/>
    <mergeCell ref="F106:H106"/>
    <mergeCell ref="A107:B107"/>
    <mergeCell ref="F107:H107"/>
    <mergeCell ref="A102:H102"/>
    <mergeCell ref="A103:C103"/>
    <mergeCell ref="F103:H103"/>
    <mergeCell ref="A104:B104"/>
    <mergeCell ref="F104:H104"/>
    <mergeCell ref="A111:B111"/>
    <mergeCell ref="F111:H111"/>
    <mergeCell ref="A112:B112"/>
    <mergeCell ref="F112:H112"/>
    <mergeCell ref="A113:B113"/>
    <mergeCell ref="F113:H113"/>
    <mergeCell ref="A108:B108"/>
    <mergeCell ref="F108:H108"/>
    <mergeCell ref="A109:B109"/>
    <mergeCell ref="F109:H109"/>
    <mergeCell ref="A110:B110"/>
    <mergeCell ref="F110:H110"/>
    <mergeCell ref="F121:H121"/>
    <mergeCell ref="A122:B122"/>
    <mergeCell ref="F122:H122"/>
    <mergeCell ref="A114:B114"/>
    <mergeCell ref="F114:H114"/>
    <mergeCell ref="A115:B115"/>
    <mergeCell ref="F115:H115"/>
    <mergeCell ref="A116:B116"/>
    <mergeCell ref="F116:H116"/>
    <mergeCell ref="A132:C132"/>
    <mergeCell ref="E132:H132"/>
    <mergeCell ref="A133:H133"/>
    <mergeCell ref="A134:C134"/>
    <mergeCell ref="F134:H134"/>
    <mergeCell ref="A130:C130"/>
    <mergeCell ref="E130:H130"/>
    <mergeCell ref="A131:C131"/>
    <mergeCell ref="E131:H131"/>
    <mergeCell ref="A138:B138"/>
    <mergeCell ref="F138:H138"/>
    <mergeCell ref="A139:B139"/>
    <mergeCell ref="F139:H139"/>
    <mergeCell ref="A140:B140"/>
    <mergeCell ref="F140:H140"/>
    <mergeCell ref="A135:B135"/>
    <mergeCell ref="F135:H135"/>
    <mergeCell ref="A136:B136"/>
    <mergeCell ref="F136:H136"/>
    <mergeCell ref="A137:B137"/>
    <mergeCell ref="F137:H137"/>
    <mergeCell ref="A144:B144"/>
    <mergeCell ref="F144:H144"/>
    <mergeCell ref="A145:B145"/>
    <mergeCell ref="F145:H145"/>
    <mergeCell ref="A146:B146"/>
    <mergeCell ref="F146:H146"/>
    <mergeCell ref="A141:B141"/>
    <mergeCell ref="F141:H141"/>
    <mergeCell ref="A142:B142"/>
    <mergeCell ref="F142:H142"/>
    <mergeCell ref="A143:B143"/>
    <mergeCell ref="F143:H143"/>
    <mergeCell ref="A155:C155"/>
    <mergeCell ref="F155:H155"/>
    <mergeCell ref="A150:B150"/>
    <mergeCell ref="F150:H150"/>
    <mergeCell ref="A151:B151"/>
    <mergeCell ref="F151:H151"/>
    <mergeCell ref="A154:H154"/>
    <mergeCell ref="A147:B147"/>
    <mergeCell ref="F147:H147"/>
    <mergeCell ref="A148:B148"/>
    <mergeCell ref="F148:H148"/>
    <mergeCell ref="A149:B149"/>
    <mergeCell ref="F149:H149"/>
    <mergeCell ref="A152:B152"/>
    <mergeCell ref="F152:H152"/>
    <mergeCell ref="A153:B153"/>
    <mergeCell ref="F153:H153"/>
    <mergeCell ref="A129:H129"/>
    <mergeCell ref="A126:H126"/>
    <mergeCell ref="A29:B29"/>
    <mergeCell ref="F29:H29"/>
    <mergeCell ref="A28:B28"/>
    <mergeCell ref="F28:H28"/>
    <mergeCell ref="A59:B59"/>
    <mergeCell ref="F59:H59"/>
    <mergeCell ref="A60:B60"/>
    <mergeCell ref="F60:H60"/>
    <mergeCell ref="A90:B90"/>
    <mergeCell ref="F90:H90"/>
    <mergeCell ref="A120:B120"/>
    <mergeCell ref="F120:H120"/>
    <mergeCell ref="A123:H123"/>
    <mergeCell ref="A124:C124"/>
    <mergeCell ref="F124:H124"/>
    <mergeCell ref="A117:B117"/>
    <mergeCell ref="F117:H117"/>
    <mergeCell ref="A118:B118"/>
    <mergeCell ref="F118:H118"/>
    <mergeCell ref="A119:B119"/>
    <mergeCell ref="F119:H119"/>
    <mergeCell ref="A121:B121"/>
  </mergeCells>
  <dataValidations count="3">
    <dataValidation type="list" allowBlank="1" showInputMessage="1" showErrorMessage="1" prompt="Choose Area" sqref="A4 A97 A35 A66 A128 A159 A190 A221 A252 A283" xr:uid="{5CB266E6-0F55-4C36-AC5D-60B28A8C5878}">
      <formula1>CatchNo</formula1>
    </dataValidation>
    <dataValidation type="list" showInputMessage="1" showErrorMessage="1" promptTitle="Yes or No?" sqref="D6 D99 D37 D68 D130 D161 D192 D223 D254 D285" xr:uid="{DF8E6783-A78E-4CD8-834D-6F3674AE41C4}">
      <formula1>YesNo</formula1>
    </dataValidation>
    <dataValidation type="decimal" operator="greaterThan" allowBlank="1" showInputMessage="1" showErrorMessage="1" sqref="D11:D13 D8 D17 D19 D22 D26:D27 D29 D39 D42:D44 D48 D50 D53 D57:D58 D60 D73:D75 D70 D79 D81 D84 D88:D89 D91 D104:D106 D101 D110 D112 D115 D119:D120 D122 D135:D137 D132 D141 D143 D146 D150:D151 D153 D166:D168 D163 D172 D174 D177 D181:D182 D184 D197:D199 D194 D203 D205 D208 D212:D213 D215 D228:D230 D225 D234 D236 D239 D243:D244 D246 D259:D261 D256 D265 D267 D270 D274:D275 D277 D290:D292 D287 D296 D298 D301 D305:D306 D308" xr:uid="{914716B0-C59F-4DF4-9BF2-3BDB4E38DA75}">
      <formula1>0</formula1>
    </dataValidation>
  </dataValidations>
  <pageMargins left="0.5" right="0.5" top="0.75" bottom="0.5" header="0.3" footer="0.3"/>
  <pageSetup paperSize="278" orientation="portrait" r:id="rId1"/>
  <headerFooter>
    <oddHeader xml:space="preserve">&amp;C&amp;"Arial,Regular"&amp;18Wet Swale (O-2)
</oddHeader>
  </headerFooter>
  <rowBreaks count="10" manualBreakCount="10">
    <brk id="31" max="16383" man="1"/>
    <brk id="62" max="11" man="1"/>
    <brk id="93" max="16383" man="1"/>
    <brk id="124" max="16383" man="1"/>
    <brk id="155" max="16383" man="1"/>
    <brk id="186" max="16383" man="1"/>
    <brk id="217" max="16383" man="1"/>
    <brk id="248" max="16383" man="1"/>
    <brk id="279" max="16383" man="1"/>
    <brk id="31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B0834-D9AB-47CE-9AEF-6C44984DEC0C}">
  <dimension ref="A1:N190"/>
  <sheetViews>
    <sheetView view="pageLayout" zoomScaleNormal="100" zoomScaleSheetLayoutView="85" workbookViewId="0">
      <selection activeCell="J15" sqref="J15"/>
    </sheetView>
  </sheetViews>
  <sheetFormatPr defaultColWidth="9.1796875" defaultRowHeight="12.5" x14ac:dyDescent="0.25"/>
  <cols>
    <col min="1" max="1" width="12.7265625" style="4" customWidth="1"/>
    <col min="2" max="2" width="20.81640625" style="4" customWidth="1"/>
    <col min="3" max="4" width="10.7265625" style="4" customWidth="1"/>
    <col min="5" max="5" width="9.1796875" style="4" customWidth="1"/>
    <col min="6" max="6" width="8.54296875" style="4" customWidth="1"/>
    <col min="7" max="7" width="12.1796875" style="4" customWidth="1"/>
    <col min="8" max="8" width="10.54296875" style="4" customWidth="1"/>
    <col min="9" max="9" width="8.453125" style="4" customWidth="1"/>
    <col min="10" max="10" width="12.7265625" style="4" customWidth="1"/>
    <col min="11" max="13" width="9.1796875" style="4" customWidth="1"/>
    <col min="14" max="16384" width="9.1796875" style="4"/>
  </cols>
  <sheetData>
    <row r="1" spans="1:14" ht="18" customHeight="1" x14ac:dyDescent="0.25">
      <c r="A1" s="161" t="s">
        <v>56</v>
      </c>
      <c r="B1" s="162" t="str">
        <f>IF('STEP 2-WQv Calculation'!$B$4="","",'STEP 2-WQv Calculation'!$B$4)</f>
        <v/>
      </c>
      <c r="C1" s="163"/>
      <c r="D1" s="163"/>
      <c r="E1" s="163"/>
      <c r="F1" s="163"/>
      <c r="G1" s="163"/>
      <c r="H1" s="163"/>
    </row>
    <row r="2" spans="1:14" ht="15" customHeight="1" x14ac:dyDescent="0.3">
      <c r="A2" s="360" t="s">
        <v>293</v>
      </c>
      <c r="B2" s="361"/>
      <c r="C2" s="361"/>
      <c r="D2" s="361"/>
      <c r="E2" s="361"/>
      <c r="F2" s="361"/>
      <c r="G2" s="361"/>
      <c r="H2" s="362"/>
      <c r="I2" s="438" t="s">
        <v>219</v>
      </c>
      <c r="J2" s="256"/>
      <c r="K2" s="49">
        <f>SUM(B4,B23,B42,B61,B80,B99,B118,B137,B156,B175)</f>
        <v>0</v>
      </c>
      <c r="L2" s="12" t="s">
        <v>223</v>
      </c>
      <c r="M2" s="145"/>
      <c r="N2" s="145"/>
    </row>
    <row r="3" spans="1:14" ht="46.75" customHeight="1" x14ac:dyDescent="0.25">
      <c r="A3" s="164" t="s">
        <v>60</v>
      </c>
      <c r="B3" s="165" t="s">
        <v>600</v>
      </c>
      <c r="C3" s="165" t="s">
        <v>601</v>
      </c>
      <c r="D3" s="165" t="s">
        <v>602</v>
      </c>
      <c r="E3" s="165" t="s">
        <v>64</v>
      </c>
      <c r="F3" s="165" t="s">
        <v>603</v>
      </c>
      <c r="G3" s="165" t="s">
        <v>604</v>
      </c>
      <c r="H3" s="166" t="s">
        <v>13</v>
      </c>
      <c r="I3" s="438" t="s">
        <v>245</v>
      </c>
      <c r="J3" s="256"/>
      <c r="K3" s="21">
        <f>SUM(C4,C23,C42,C61,C80,C99,C118,C137,C156,C175)</f>
        <v>0</v>
      </c>
      <c r="L3" s="12" t="s">
        <v>223</v>
      </c>
      <c r="M3" s="145"/>
      <c r="N3" s="145"/>
    </row>
    <row r="4" spans="1:14" ht="36.75" customHeight="1" x14ac:dyDescent="0.25">
      <c r="A4" s="178"/>
      <c r="B4" s="167" t="str">
        <f>IF($A4="","",(LOOKUP($A4,'STEP 2-WQv Calculation'!$A$8:$A$37,'STEP 2-WQv Calculation'!$B$8:$B$37)))</f>
        <v/>
      </c>
      <c r="C4" s="167" t="str">
        <f>IF($A4="","",(LOOKUP($A4,'STEP 2-WQv Calculation'!$A$8:$A$37,'STEP 2-WQv Calculation'!$C$8:$C$37)))</f>
        <v/>
      </c>
      <c r="D4" s="168" t="str">
        <f>IF($A4="","",(LOOKUP($A4,'STEP 2-WQv Calculation'!$A$8:$A$37,'STEP 2-WQv Calculation'!$D$8:$D$37)))</f>
        <v/>
      </c>
      <c r="E4" s="167" t="str">
        <f>IF($A4="","",(LOOKUP($A4,'STEP 2-WQv Calculation'!$A$8:$A$37,'STEP 2-WQv Calculation'!$E$8:$E$37)))</f>
        <v/>
      </c>
      <c r="F4" s="169" t="str">
        <f>IF($A4="","",(LOOKUP($A4,'STEP 2-WQv Calculation'!$A$8:$A$37,'STEP 2-WQv Calculation'!$F$8:$F$37)))</f>
        <v/>
      </c>
      <c r="G4" s="170">
        <f>'STEP 2-WQv Calculation'!$B$5</f>
        <v>0</v>
      </c>
      <c r="H4" s="171" t="str">
        <f>IF($A4="","",(LOOKUP($A4,'STEP 2-WQv Calculation'!$A$8:$A$37,'STEP 2-WQv Calculation'!$G$8:$G$37)))</f>
        <v/>
      </c>
      <c r="I4" s="438" t="s">
        <v>227</v>
      </c>
      <c r="J4" s="256"/>
      <c r="K4" s="28">
        <v>0</v>
      </c>
      <c r="L4" s="12" t="s">
        <v>2</v>
      </c>
      <c r="M4" s="145"/>
      <c r="N4" s="145"/>
    </row>
    <row r="5" spans="1:14" ht="13" x14ac:dyDescent="0.3">
      <c r="A5" s="360" t="s">
        <v>226</v>
      </c>
      <c r="B5" s="361"/>
      <c r="C5" s="361"/>
      <c r="D5" s="361"/>
      <c r="E5" s="361"/>
      <c r="F5" s="361"/>
      <c r="G5" s="361"/>
      <c r="H5" s="362"/>
      <c r="I5" s="439" t="s">
        <v>447</v>
      </c>
      <c r="J5" s="414"/>
      <c r="K5" s="28">
        <f>SUM(D19,D38,D57,D76,D95,D114,D133,D152,D171,D190)</f>
        <v>0</v>
      </c>
      <c r="L5" s="12" t="s">
        <v>2</v>
      </c>
      <c r="M5" s="172"/>
      <c r="N5" s="172"/>
    </row>
    <row r="6" spans="1:14" ht="52.5" customHeight="1" x14ac:dyDescent="0.25">
      <c r="A6" s="242" t="s">
        <v>625</v>
      </c>
      <c r="B6" s="243"/>
      <c r="C6" s="244"/>
      <c r="D6" s="139"/>
      <c r="E6" s="322" t="str">
        <f>IF(D6="No","Does not meet Section 9.4.1 evaluation requirements","")</f>
        <v/>
      </c>
      <c r="F6" s="323"/>
      <c r="G6" s="323"/>
      <c r="H6" s="324"/>
    </row>
    <row r="7" spans="1:14" ht="27" customHeight="1" x14ac:dyDescent="0.25">
      <c r="A7" s="242" t="s">
        <v>626</v>
      </c>
      <c r="B7" s="243"/>
      <c r="C7" s="244"/>
      <c r="D7" s="139"/>
      <c r="E7" s="322" t="str">
        <f>IF(D7="Yes","Practice must be included on NYSDEC list for Verified Proprietary Practices for New Development","")</f>
        <v/>
      </c>
      <c r="F7" s="323"/>
      <c r="G7" s="323"/>
      <c r="H7" s="324"/>
    </row>
    <row r="8" spans="1:14" ht="40.5" customHeight="1" x14ac:dyDescent="0.25">
      <c r="A8" s="242" t="s">
        <v>627</v>
      </c>
      <c r="B8" s="243"/>
      <c r="C8" s="244"/>
      <c r="D8" s="139"/>
      <c r="E8" s="322" t="str">
        <f>IF(D8="","",IF(D7="No","Not applicable",IF(AND(D7="Yes",D8="No"),"Practice is not approved for new development",IF(AND(D7="Yes",D8="Yes"),""))))</f>
        <v/>
      </c>
      <c r="F8" s="323"/>
      <c r="G8" s="323"/>
      <c r="H8" s="324"/>
    </row>
    <row r="9" spans="1:14" x14ac:dyDescent="0.25">
      <c r="A9" s="242" t="s">
        <v>628</v>
      </c>
      <c r="B9" s="243"/>
      <c r="C9" s="244"/>
      <c r="D9" s="139"/>
      <c r="E9" s="322" t="str">
        <f>IF(D9="","",IF(D9="Yes","Design must include flow diversion",IF(D9="No","Practice must have adequate bypass capacity")))</f>
        <v/>
      </c>
      <c r="F9" s="323"/>
      <c r="G9" s="323"/>
      <c r="H9" s="324"/>
    </row>
    <row r="10" spans="1:14" x14ac:dyDescent="0.25">
      <c r="A10" s="242" t="s">
        <v>629</v>
      </c>
      <c r="B10" s="243"/>
      <c r="C10" s="244"/>
      <c r="D10" s="139"/>
      <c r="E10" s="322" t="str">
        <f>IF(D9="","",IF(AND(D9="No",D10=""),"Not applicable",IF(AND(D9="Yes",D10=""),"",IF(AND(D9="Yes",D10="No"),"Does not meet sizing criteria",IF(AND(D9="Yes",D10="Yes"),"")))))</f>
        <v/>
      </c>
      <c r="F10" s="323"/>
      <c r="G10" s="323"/>
      <c r="H10" s="324"/>
    </row>
    <row r="11" spans="1:14" x14ac:dyDescent="0.25">
      <c r="A11" s="242" t="s">
        <v>630</v>
      </c>
      <c r="B11" s="243"/>
      <c r="C11" s="244"/>
      <c r="D11" s="139"/>
      <c r="E11" s="322" t="str">
        <f>IF(D9="Yes","Not applicable","")</f>
        <v/>
      </c>
      <c r="F11" s="323"/>
      <c r="G11" s="323"/>
      <c r="H11" s="324"/>
    </row>
    <row r="12" spans="1:14" x14ac:dyDescent="0.25">
      <c r="A12" s="242" t="s">
        <v>631</v>
      </c>
      <c r="B12" s="243"/>
      <c r="C12" s="244"/>
      <c r="D12" s="139"/>
      <c r="E12" s="322" t="str">
        <f>IF(AND(D9="Yes",D12=""),"Not applicable",IF(F4="","",IF(D9="Yes","Not applicable",IF(D12&lt;D11,"Does not meet sizing criteria",""))))</f>
        <v/>
      </c>
      <c r="F12" s="323"/>
      <c r="G12" s="323"/>
      <c r="H12" s="324"/>
    </row>
    <row r="13" spans="1:14" ht="15" customHeight="1" x14ac:dyDescent="0.25">
      <c r="A13" s="242" t="s">
        <v>632</v>
      </c>
      <c r="B13" s="243"/>
      <c r="C13" s="244"/>
      <c r="D13" s="442"/>
      <c r="E13" s="443"/>
      <c r="F13" s="443"/>
      <c r="G13" s="443"/>
      <c r="H13" s="444"/>
    </row>
    <row r="14" spans="1:14" ht="30.25" customHeight="1" x14ac:dyDescent="0.3">
      <c r="A14" s="433" t="s">
        <v>232</v>
      </c>
      <c r="B14" s="434"/>
      <c r="C14" s="434"/>
      <c r="D14" s="361"/>
      <c r="E14" s="361"/>
      <c r="F14" s="361"/>
      <c r="G14" s="361"/>
      <c r="H14" s="362"/>
    </row>
    <row r="15" spans="1:14" ht="15" customHeight="1" x14ac:dyDescent="0.3">
      <c r="A15" s="346"/>
      <c r="B15" s="347"/>
      <c r="C15" s="348"/>
      <c r="D15" s="47" t="s">
        <v>256</v>
      </c>
      <c r="E15" s="48" t="s">
        <v>257</v>
      </c>
      <c r="F15" s="349" t="s">
        <v>258</v>
      </c>
      <c r="G15" s="350"/>
      <c r="H15" s="351"/>
    </row>
    <row r="16" spans="1:14" x14ac:dyDescent="0.25">
      <c r="A16" s="289" t="s">
        <v>327</v>
      </c>
      <c r="B16" s="289"/>
      <c r="C16" s="159" t="s">
        <v>328</v>
      </c>
      <c r="D16" s="183"/>
      <c r="E16" s="193" t="s">
        <v>329</v>
      </c>
      <c r="F16" s="345" t="s">
        <v>330</v>
      </c>
      <c r="G16" s="345"/>
      <c r="H16" s="345"/>
    </row>
    <row r="17" spans="1:8" ht="24.75" customHeight="1" x14ac:dyDescent="0.25">
      <c r="A17" s="289" t="s">
        <v>633</v>
      </c>
      <c r="B17" s="289"/>
      <c r="C17" s="159" t="s">
        <v>634</v>
      </c>
      <c r="D17" s="183"/>
      <c r="E17" s="193" t="s">
        <v>329</v>
      </c>
      <c r="F17" s="345" t="str">
        <f>IF(D17="","",IF(D17&lt;D16,"Does not meet sizing criteria",""))</f>
        <v/>
      </c>
      <c r="G17" s="345"/>
      <c r="H17" s="345"/>
    </row>
    <row r="18" spans="1:8" ht="15" customHeight="1" x14ac:dyDescent="0.25">
      <c r="A18" s="390" t="s">
        <v>468</v>
      </c>
      <c r="B18" s="390"/>
      <c r="C18" s="390"/>
      <c r="D18" s="390"/>
      <c r="E18" s="390"/>
      <c r="F18" s="390"/>
      <c r="G18" s="390"/>
      <c r="H18" s="390"/>
    </row>
    <row r="19" spans="1:8" ht="14.25" customHeight="1" x14ac:dyDescent="0.25">
      <c r="A19" s="398" t="s">
        <v>469</v>
      </c>
      <c r="B19" s="399"/>
      <c r="C19" s="400"/>
      <c r="D19" s="181" t="str">
        <f>IF(A4="","",IF(D6="No",0,IF(AND(D7="Yes",D8="No"),0,IF(AND(D9="Yes",D10="No"),0,IF(AND(D9="No",D12&lt;D11),0,IF(D17&lt;D16,0,F4))))))</f>
        <v/>
      </c>
      <c r="E19" s="182" t="s">
        <v>2</v>
      </c>
      <c r="F19" s="440"/>
      <c r="G19" s="441"/>
      <c r="H19" s="441"/>
    </row>
    <row r="20" spans="1:8" ht="13.15" customHeight="1" x14ac:dyDescent="0.25">
      <c r="A20" s="161" t="s">
        <v>56</v>
      </c>
      <c r="B20" s="162" t="str">
        <f>IF('STEP 2-WQv Calculation'!$B$4="","",'STEP 2-WQv Calculation'!$B$4)</f>
        <v/>
      </c>
      <c r="C20" s="163"/>
      <c r="D20" s="163"/>
      <c r="E20" s="163"/>
      <c r="F20" s="163"/>
      <c r="G20" s="163"/>
      <c r="H20" s="163"/>
    </row>
    <row r="21" spans="1:8" ht="13.15" customHeight="1" x14ac:dyDescent="0.3">
      <c r="A21" s="360" t="s">
        <v>293</v>
      </c>
      <c r="B21" s="361"/>
      <c r="C21" s="361"/>
      <c r="D21" s="361"/>
      <c r="E21" s="361"/>
      <c r="F21" s="361"/>
      <c r="G21" s="361"/>
      <c r="H21" s="362"/>
    </row>
    <row r="22" spans="1:8" ht="39" customHeight="1" x14ac:dyDescent="0.25">
      <c r="A22" s="164" t="s">
        <v>60</v>
      </c>
      <c r="B22" s="165" t="s">
        <v>600</v>
      </c>
      <c r="C22" s="165" t="s">
        <v>601</v>
      </c>
      <c r="D22" s="165" t="s">
        <v>602</v>
      </c>
      <c r="E22" s="165" t="s">
        <v>64</v>
      </c>
      <c r="F22" s="165" t="s">
        <v>603</v>
      </c>
      <c r="G22" s="165" t="s">
        <v>604</v>
      </c>
      <c r="H22" s="166" t="s">
        <v>13</v>
      </c>
    </row>
    <row r="23" spans="1:8" ht="39" customHeight="1" x14ac:dyDescent="0.25">
      <c r="A23" s="178"/>
      <c r="B23" s="167" t="str">
        <f>IF($A23="","",(LOOKUP($A23,'STEP 2-WQv Calculation'!$A$8:$A$37,'STEP 2-WQv Calculation'!$B$8:$B$37)))</f>
        <v/>
      </c>
      <c r="C23" s="167" t="str">
        <f>IF($A23="","",(LOOKUP($A23,'STEP 2-WQv Calculation'!$A$8:$A$37,'STEP 2-WQv Calculation'!$C$8:$C$37)))</f>
        <v/>
      </c>
      <c r="D23" s="168" t="str">
        <f>IF($A23="","",(LOOKUP($A23,'STEP 2-WQv Calculation'!$A$8:$A$37,'STEP 2-WQv Calculation'!$D$8:$D$37)))</f>
        <v/>
      </c>
      <c r="E23" s="167" t="str">
        <f>IF($A23="","",(LOOKUP($A23,'STEP 2-WQv Calculation'!$A$8:$A$37,'STEP 2-WQv Calculation'!$E$8:$E$37)))</f>
        <v/>
      </c>
      <c r="F23" s="169" t="str">
        <f>IF($A23="","",(LOOKUP($A23,'STEP 2-WQv Calculation'!$A$8:$A$37,'STEP 2-WQv Calculation'!$F$8:$F$37)))</f>
        <v/>
      </c>
      <c r="G23" s="170">
        <f>'STEP 2-WQv Calculation'!$B$5</f>
        <v>0</v>
      </c>
      <c r="H23" s="171" t="str">
        <f>IF($A23="","",(LOOKUP($A23,'STEP 2-WQv Calculation'!$A$8:$A$37,'STEP 2-WQv Calculation'!$G$8:$G$37)))</f>
        <v/>
      </c>
    </row>
    <row r="24" spans="1:8" ht="13.15" customHeight="1" x14ac:dyDescent="0.3">
      <c r="A24" s="360" t="s">
        <v>226</v>
      </c>
      <c r="B24" s="361"/>
      <c r="C24" s="361"/>
      <c r="D24" s="361"/>
      <c r="E24" s="361"/>
      <c r="F24" s="361"/>
      <c r="G24" s="361"/>
      <c r="H24" s="362"/>
    </row>
    <row r="25" spans="1:8" ht="38.25" customHeight="1" x14ac:dyDescent="0.25">
      <c r="A25" s="242" t="s">
        <v>625</v>
      </c>
      <c r="B25" s="243"/>
      <c r="C25" s="244"/>
      <c r="D25" s="139"/>
      <c r="E25" s="322" t="str">
        <f>IF(D25="No","Does not meet Section 9.4.1 evaluation requirements","")</f>
        <v/>
      </c>
      <c r="F25" s="323"/>
      <c r="G25" s="323"/>
      <c r="H25" s="324"/>
    </row>
    <row r="26" spans="1:8" ht="26.25" customHeight="1" x14ac:dyDescent="0.25">
      <c r="A26" s="242" t="s">
        <v>626</v>
      </c>
      <c r="B26" s="243"/>
      <c r="C26" s="244"/>
      <c r="D26" s="139"/>
      <c r="E26" s="322" t="str">
        <f>IF(D26="Yes","Practice must be included on NYSDEC list for Verified Proprietary Practices for New Development","")</f>
        <v/>
      </c>
      <c r="F26" s="323"/>
      <c r="G26" s="323"/>
      <c r="H26" s="324"/>
    </row>
    <row r="27" spans="1:8" ht="25.5" customHeight="1" x14ac:dyDescent="0.25">
      <c r="A27" s="242" t="s">
        <v>627</v>
      </c>
      <c r="B27" s="243"/>
      <c r="C27" s="244"/>
      <c r="D27" s="139"/>
      <c r="E27" s="322" t="str">
        <f>IF(D27="","",IF(D26="No","Not applicable",IF(AND(D26="Yes",D27="No"),"Practice is not approved for new development",IF(AND(D26="Yes",D27="Yes"),""))))</f>
        <v/>
      </c>
      <c r="F27" s="323"/>
      <c r="G27" s="323"/>
      <c r="H27" s="324"/>
    </row>
    <row r="28" spans="1:8" ht="12.75" customHeight="1" x14ac:dyDescent="0.25">
      <c r="A28" s="242" t="s">
        <v>628</v>
      </c>
      <c r="B28" s="243"/>
      <c r="C28" s="244"/>
      <c r="D28" s="139"/>
      <c r="E28" s="322" t="str">
        <f>IF(D28="","",IF(D28="Yes","Design must include flow diversion",IF(D28="No","Practice must have adequate bypass capacity")))</f>
        <v/>
      </c>
      <c r="F28" s="323"/>
      <c r="G28" s="323"/>
      <c r="H28" s="324"/>
    </row>
    <row r="29" spans="1:8" ht="12.75" customHeight="1" x14ac:dyDescent="0.25">
      <c r="A29" s="242" t="s">
        <v>629</v>
      </c>
      <c r="B29" s="243"/>
      <c r="C29" s="244"/>
      <c r="D29" s="139"/>
      <c r="E29" s="322" t="str">
        <f>IF(D28="","",IF(AND(D28="No",D29=""),"Not applicable",IF(AND(D28="Yes",D29=""),"",IF(AND(D28="Yes",D29="No"),"Does not meet sizing criteria",IF(AND(D28="Yes",D29="Yes"),"")))))</f>
        <v/>
      </c>
      <c r="F29" s="323"/>
      <c r="G29" s="323"/>
      <c r="H29" s="324"/>
    </row>
    <row r="30" spans="1:8" ht="12.75" customHeight="1" x14ac:dyDescent="0.25">
      <c r="A30" s="242" t="s">
        <v>630</v>
      </c>
      <c r="B30" s="243"/>
      <c r="C30" s="244"/>
      <c r="D30" s="139"/>
      <c r="E30" s="322" t="str">
        <f>IF(D28="Yes","Not applicable","")</f>
        <v/>
      </c>
      <c r="F30" s="323"/>
      <c r="G30" s="323"/>
      <c r="H30" s="324"/>
    </row>
    <row r="31" spans="1:8" ht="12.75" customHeight="1" x14ac:dyDescent="0.25">
      <c r="A31" s="242" t="s">
        <v>631</v>
      </c>
      <c r="B31" s="243"/>
      <c r="C31" s="244"/>
      <c r="D31" s="139"/>
      <c r="E31" s="322" t="str">
        <f>IF(AND(D28="Yes",D31=""),"Not applicable",IF(F23="","",IF(D28="Yes","Not applicable",IF(D31&lt;D30,"Does not meet sizing criteria",""))))</f>
        <v/>
      </c>
      <c r="F31" s="323"/>
      <c r="G31" s="323"/>
      <c r="H31" s="324"/>
    </row>
    <row r="32" spans="1:8" ht="12.75" customHeight="1" x14ac:dyDescent="0.25">
      <c r="A32" s="242" t="s">
        <v>632</v>
      </c>
      <c r="B32" s="243"/>
      <c r="C32" s="244"/>
      <c r="D32" s="442"/>
      <c r="E32" s="443"/>
      <c r="F32" s="443"/>
      <c r="G32" s="443"/>
      <c r="H32" s="444"/>
    </row>
    <row r="33" spans="1:8" ht="13.15" customHeight="1" x14ac:dyDescent="0.3">
      <c r="A33" s="433" t="s">
        <v>232</v>
      </c>
      <c r="B33" s="434"/>
      <c r="C33" s="434"/>
      <c r="D33" s="361"/>
      <c r="E33" s="361"/>
      <c r="F33" s="361"/>
      <c r="G33" s="361"/>
      <c r="H33" s="362"/>
    </row>
    <row r="34" spans="1:8" ht="13" x14ac:dyDescent="0.3">
      <c r="A34" s="346"/>
      <c r="B34" s="347"/>
      <c r="C34" s="348"/>
      <c r="D34" s="47" t="s">
        <v>256</v>
      </c>
      <c r="E34" s="48" t="s">
        <v>257</v>
      </c>
      <c r="F34" s="349" t="s">
        <v>258</v>
      </c>
      <c r="G34" s="350"/>
      <c r="H34" s="351"/>
    </row>
    <row r="35" spans="1:8" ht="12.75" customHeight="1" x14ac:dyDescent="0.25">
      <c r="A35" s="289" t="s">
        <v>327</v>
      </c>
      <c r="B35" s="289"/>
      <c r="C35" s="159" t="s">
        <v>328</v>
      </c>
      <c r="D35" s="183"/>
      <c r="E35" s="193" t="s">
        <v>329</v>
      </c>
      <c r="F35" s="345" t="s">
        <v>330</v>
      </c>
      <c r="G35" s="345"/>
      <c r="H35" s="345"/>
    </row>
    <row r="36" spans="1:8" ht="12.75" customHeight="1" x14ac:dyDescent="0.25">
      <c r="A36" s="289" t="s">
        <v>633</v>
      </c>
      <c r="B36" s="289"/>
      <c r="C36" s="159" t="s">
        <v>634</v>
      </c>
      <c r="D36" s="183"/>
      <c r="E36" s="193" t="s">
        <v>329</v>
      </c>
      <c r="F36" s="345" t="str">
        <f>IF(D36="","",IF(D36&lt;D35,"Does not meet sizing criteria",""))</f>
        <v/>
      </c>
      <c r="G36" s="345"/>
      <c r="H36" s="345"/>
    </row>
    <row r="37" spans="1:8" ht="15" customHeight="1" x14ac:dyDescent="0.25">
      <c r="A37" s="390" t="s">
        <v>468</v>
      </c>
      <c r="B37" s="390"/>
      <c r="C37" s="390"/>
      <c r="D37" s="390"/>
      <c r="E37" s="390"/>
      <c r="F37" s="390"/>
      <c r="G37" s="390"/>
      <c r="H37" s="390"/>
    </row>
    <row r="38" spans="1:8" ht="15" customHeight="1" x14ac:dyDescent="0.25">
      <c r="A38" s="398" t="s">
        <v>469</v>
      </c>
      <c r="B38" s="399"/>
      <c r="C38" s="400"/>
      <c r="D38" s="181" t="str">
        <f>IF(A23="","",IF(D25="No",0,IF(AND(D26="Yes",D27="No"),0,IF(AND(D28="Yes",D29="No"),0,IF(AND(D28="No",D31&lt;D30),0,IF(D36&lt;D35,0,F23))))))</f>
        <v/>
      </c>
      <c r="E38" s="182" t="s">
        <v>2</v>
      </c>
      <c r="F38" s="440"/>
      <c r="G38" s="441"/>
      <c r="H38" s="441"/>
    </row>
    <row r="39" spans="1:8" ht="13.15" customHeight="1" x14ac:dyDescent="0.25">
      <c r="A39" s="161" t="s">
        <v>56</v>
      </c>
      <c r="B39" s="162" t="str">
        <f>IF('STEP 2-WQv Calculation'!$B$4="","",'STEP 2-WQv Calculation'!$B$4)</f>
        <v/>
      </c>
      <c r="C39" s="163"/>
      <c r="D39" s="163"/>
      <c r="E39" s="163"/>
      <c r="F39" s="163"/>
      <c r="G39" s="163"/>
      <c r="H39" s="163"/>
    </row>
    <row r="40" spans="1:8" ht="13.15" customHeight="1" x14ac:dyDescent="0.3">
      <c r="A40" s="360" t="s">
        <v>293</v>
      </c>
      <c r="B40" s="361"/>
      <c r="C40" s="361"/>
      <c r="D40" s="361"/>
      <c r="E40" s="361"/>
      <c r="F40" s="361"/>
      <c r="G40" s="361"/>
      <c r="H40" s="362"/>
    </row>
    <row r="41" spans="1:8" ht="39" customHeight="1" x14ac:dyDescent="0.25">
      <c r="A41" s="164" t="s">
        <v>60</v>
      </c>
      <c r="B41" s="165" t="s">
        <v>600</v>
      </c>
      <c r="C41" s="165" t="s">
        <v>601</v>
      </c>
      <c r="D41" s="165" t="s">
        <v>602</v>
      </c>
      <c r="E41" s="165" t="s">
        <v>64</v>
      </c>
      <c r="F41" s="165" t="s">
        <v>603</v>
      </c>
      <c r="G41" s="165" t="s">
        <v>604</v>
      </c>
      <c r="H41" s="166" t="s">
        <v>13</v>
      </c>
    </row>
    <row r="42" spans="1:8" ht="38.25" customHeight="1" x14ac:dyDescent="0.25">
      <c r="A42" s="178"/>
      <c r="B42" s="167" t="str">
        <f>IF($A42="","",(LOOKUP($A42,'STEP 2-WQv Calculation'!$A$8:$A$37,'STEP 2-WQv Calculation'!$B$8:$B$37)))</f>
        <v/>
      </c>
      <c r="C42" s="167" t="str">
        <f>IF($A42="","",(LOOKUP($A42,'STEP 2-WQv Calculation'!$A$8:$A$37,'STEP 2-WQv Calculation'!$C$8:$C$37)))</f>
        <v/>
      </c>
      <c r="D42" s="168" t="str">
        <f>IF($A42="","",(LOOKUP($A42,'STEP 2-WQv Calculation'!$A$8:$A$37,'STEP 2-WQv Calculation'!$D$8:$D$37)))</f>
        <v/>
      </c>
      <c r="E42" s="167" t="str">
        <f>IF($A42="","",(LOOKUP($A42,'STEP 2-WQv Calculation'!$A$8:$A$37,'STEP 2-WQv Calculation'!$E$8:$E$37)))</f>
        <v/>
      </c>
      <c r="F42" s="169" t="str">
        <f>IF($A42="","",(LOOKUP($A42,'STEP 2-WQv Calculation'!$A$8:$A$37,'STEP 2-WQv Calculation'!$F$8:$F$37)))</f>
        <v/>
      </c>
      <c r="G42" s="170">
        <f>'STEP 2-WQv Calculation'!$B$5</f>
        <v>0</v>
      </c>
      <c r="H42" s="171" t="str">
        <f>IF($A42="","",(LOOKUP($A42,'STEP 2-WQv Calculation'!$A$8:$A$37,'STEP 2-WQv Calculation'!$G$8:$G$37)))</f>
        <v/>
      </c>
    </row>
    <row r="43" spans="1:8" ht="13.15" customHeight="1" x14ac:dyDescent="0.3">
      <c r="A43" s="360" t="s">
        <v>226</v>
      </c>
      <c r="B43" s="361"/>
      <c r="C43" s="361"/>
      <c r="D43" s="361"/>
      <c r="E43" s="361"/>
      <c r="F43" s="361"/>
      <c r="G43" s="361"/>
      <c r="H43" s="362"/>
    </row>
    <row r="44" spans="1:8" ht="38.25" customHeight="1" x14ac:dyDescent="0.25">
      <c r="A44" s="242" t="s">
        <v>625</v>
      </c>
      <c r="B44" s="243"/>
      <c r="C44" s="244"/>
      <c r="D44" s="139"/>
      <c r="E44" s="322" t="str">
        <f>IF(D44="No","Does not meet Section 9.4.1 evaluation requirements","")</f>
        <v/>
      </c>
      <c r="F44" s="323"/>
      <c r="G44" s="323"/>
      <c r="H44" s="324"/>
    </row>
    <row r="45" spans="1:8" ht="24.75" customHeight="1" x14ac:dyDescent="0.25">
      <c r="A45" s="242" t="s">
        <v>626</v>
      </c>
      <c r="B45" s="243"/>
      <c r="C45" s="244"/>
      <c r="D45" s="139"/>
      <c r="E45" s="322" t="str">
        <f>IF(D45="Yes","Practice must be included on NYSDEC list for Verified Proprietary Practices for New Development","")</f>
        <v/>
      </c>
      <c r="F45" s="323"/>
      <c r="G45" s="323"/>
      <c r="H45" s="324"/>
    </row>
    <row r="46" spans="1:8" ht="25.5" customHeight="1" x14ac:dyDescent="0.25">
      <c r="A46" s="242" t="s">
        <v>627</v>
      </c>
      <c r="B46" s="243"/>
      <c r="C46" s="244"/>
      <c r="D46" s="139"/>
      <c r="E46" s="322" t="str">
        <f>IF(D46="","",IF(D45="No","Not applicable",IF(AND(D45="Yes",D46="No"),"Practice is not approved for new development",IF(AND(D45="Yes",D46="Yes"),""))))</f>
        <v/>
      </c>
      <c r="F46" s="323"/>
      <c r="G46" s="323"/>
      <c r="H46" s="324"/>
    </row>
    <row r="47" spans="1:8" ht="12.75" customHeight="1" x14ac:dyDescent="0.25">
      <c r="A47" s="242" t="s">
        <v>628</v>
      </c>
      <c r="B47" s="243"/>
      <c r="C47" s="244"/>
      <c r="D47" s="139"/>
      <c r="E47" s="322" t="str">
        <f>IF(D47="","",IF(D47="Yes","Design must include flow diversion",IF(D47="No","Practice must have adequate bypass capacity")))</f>
        <v/>
      </c>
      <c r="F47" s="323"/>
      <c r="G47" s="323"/>
      <c r="H47" s="324"/>
    </row>
    <row r="48" spans="1:8" ht="12.75" customHeight="1" x14ac:dyDescent="0.25">
      <c r="A48" s="242" t="s">
        <v>629</v>
      </c>
      <c r="B48" s="243"/>
      <c r="C48" s="244"/>
      <c r="D48" s="139"/>
      <c r="E48" s="322" t="str">
        <f>IF(D47="","",IF(AND(D47="No",D48=""),"Not applicable",IF(AND(D47="Yes",D48=""),"",IF(AND(D47="Yes",D48="No"),"Does not meet sizing criteria",IF(AND(D47="Yes",D48="Yes"),"")))))</f>
        <v/>
      </c>
      <c r="F48" s="323"/>
      <c r="G48" s="323"/>
      <c r="H48" s="324"/>
    </row>
    <row r="49" spans="1:8" ht="12.75" customHeight="1" x14ac:dyDescent="0.25">
      <c r="A49" s="242" t="s">
        <v>630</v>
      </c>
      <c r="B49" s="243"/>
      <c r="C49" s="244"/>
      <c r="D49" s="139"/>
      <c r="E49" s="322" t="str">
        <f>IF(D47="Yes","Not applicable","")</f>
        <v/>
      </c>
      <c r="F49" s="323"/>
      <c r="G49" s="323"/>
      <c r="H49" s="324"/>
    </row>
    <row r="50" spans="1:8" ht="12.75" customHeight="1" x14ac:dyDescent="0.25">
      <c r="A50" s="242" t="s">
        <v>631</v>
      </c>
      <c r="B50" s="243"/>
      <c r="C50" s="244"/>
      <c r="D50" s="139"/>
      <c r="E50" s="322" t="str">
        <f>IF(AND(D47="Yes",D50=""),"Not applicable",IF(F42="","",IF(D47="Yes","Not applicable",IF(D50&lt;D49,"Does not meet sizing criteria",""))))</f>
        <v/>
      </c>
      <c r="F50" s="323"/>
      <c r="G50" s="323"/>
      <c r="H50" s="324"/>
    </row>
    <row r="51" spans="1:8" ht="12.75" customHeight="1" x14ac:dyDescent="0.25">
      <c r="A51" s="242" t="s">
        <v>632</v>
      </c>
      <c r="B51" s="243"/>
      <c r="C51" s="244"/>
      <c r="D51" s="442"/>
      <c r="E51" s="443"/>
      <c r="F51" s="443"/>
      <c r="G51" s="443"/>
      <c r="H51" s="444"/>
    </row>
    <row r="52" spans="1:8" ht="13.15" customHeight="1" x14ac:dyDescent="0.3">
      <c r="A52" s="433" t="s">
        <v>232</v>
      </c>
      <c r="B52" s="434"/>
      <c r="C52" s="434"/>
      <c r="D52" s="361"/>
      <c r="E52" s="361"/>
      <c r="F52" s="361"/>
      <c r="G52" s="361"/>
      <c r="H52" s="362"/>
    </row>
    <row r="53" spans="1:8" ht="13" x14ac:dyDescent="0.3">
      <c r="A53" s="346"/>
      <c r="B53" s="347"/>
      <c r="C53" s="348"/>
      <c r="D53" s="47" t="s">
        <v>256</v>
      </c>
      <c r="E53" s="48" t="s">
        <v>257</v>
      </c>
      <c r="F53" s="349" t="s">
        <v>258</v>
      </c>
      <c r="G53" s="350"/>
      <c r="H53" s="351"/>
    </row>
    <row r="54" spans="1:8" ht="12.75" customHeight="1" x14ac:dyDescent="0.25">
      <c r="A54" s="289" t="s">
        <v>327</v>
      </c>
      <c r="B54" s="289"/>
      <c r="C54" s="159" t="s">
        <v>328</v>
      </c>
      <c r="D54" s="183"/>
      <c r="E54" s="193" t="s">
        <v>329</v>
      </c>
      <c r="F54" s="345" t="s">
        <v>330</v>
      </c>
      <c r="G54" s="345"/>
      <c r="H54" s="345"/>
    </row>
    <row r="55" spans="1:8" ht="12.75" customHeight="1" x14ac:dyDescent="0.25">
      <c r="A55" s="289" t="s">
        <v>633</v>
      </c>
      <c r="B55" s="289"/>
      <c r="C55" s="159" t="s">
        <v>634</v>
      </c>
      <c r="D55" s="183"/>
      <c r="E55" s="193" t="s">
        <v>329</v>
      </c>
      <c r="F55" s="345" t="str">
        <f>IF(D55="","",IF(D55&lt;D54,"Does not meet sizing criteria",""))</f>
        <v/>
      </c>
      <c r="G55" s="345"/>
      <c r="H55" s="345"/>
    </row>
    <row r="56" spans="1:8" ht="15" customHeight="1" x14ac:dyDescent="0.25">
      <c r="A56" s="390" t="s">
        <v>468</v>
      </c>
      <c r="B56" s="390"/>
      <c r="C56" s="390"/>
      <c r="D56" s="390"/>
      <c r="E56" s="390"/>
      <c r="F56" s="390"/>
      <c r="G56" s="390"/>
      <c r="H56" s="390"/>
    </row>
    <row r="57" spans="1:8" ht="15" customHeight="1" x14ac:dyDescent="0.25">
      <c r="A57" s="398" t="s">
        <v>469</v>
      </c>
      <c r="B57" s="399"/>
      <c r="C57" s="400"/>
      <c r="D57" s="181" t="str">
        <f>IF(A42="","",IF(D44="No",0,IF(AND(D45="Yes",D46="No"),0,IF(AND(D47="Yes",D48="No"),0,IF(AND(D47="No",D50&lt;D49),0,IF(D55&lt;D54,0,F42))))))</f>
        <v/>
      </c>
      <c r="E57" s="182" t="s">
        <v>2</v>
      </c>
      <c r="F57" s="440"/>
      <c r="G57" s="441"/>
      <c r="H57" s="441"/>
    </row>
    <row r="58" spans="1:8" ht="13" x14ac:dyDescent="0.25">
      <c r="A58" s="161" t="s">
        <v>56</v>
      </c>
      <c r="B58" s="162" t="str">
        <f>IF('STEP 2-WQv Calculation'!$B$4="","",'STEP 2-WQv Calculation'!$B$4)</f>
        <v/>
      </c>
      <c r="C58" s="163"/>
      <c r="D58" s="163"/>
      <c r="E58" s="163"/>
      <c r="F58" s="163"/>
      <c r="G58" s="163"/>
      <c r="H58" s="163"/>
    </row>
    <row r="59" spans="1:8" ht="13.15" customHeight="1" x14ac:dyDescent="0.3">
      <c r="A59" s="360" t="s">
        <v>293</v>
      </c>
      <c r="B59" s="361"/>
      <c r="C59" s="361"/>
      <c r="D59" s="361"/>
      <c r="E59" s="361"/>
      <c r="F59" s="361"/>
      <c r="G59" s="361"/>
      <c r="H59" s="362"/>
    </row>
    <row r="60" spans="1:8" ht="38.5" x14ac:dyDescent="0.25">
      <c r="A60" s="164" t="s">
        <v>60</v>
      </c>
      <c r="B60" s="165" t="s">
        <v>600</v>
      </c>
      <c r="C60" s="165" t="s">
        <v>601</v>
      </c>
      <c r="D60" s="165" t="s">
        <v>602</v>
      </c>
      <c r="E60" s="165" t="s">
        <v>64</v>
      </c>
      <c r="F60" s="165" t="s">
        <v>603</v>
      </c>
      <c r="G60" s="165" t="s">
        <v>604</v>
      </c>
      <c r="H60" s="166" t="s">
        <v>13</v>
      </c>
    </row>
    <row r="61" spans="1:8" ht="38.25" customHeight="1" x14ac:dyDescent="0.25">
      <c r="A61" s="178"/>
      <c r="B61" s="167" t="str">
        <f>IF($A61="","",(LOOKUP($A61,'STEP 2-WQv Calculation'!$A$8:$A$37,'STEP 2-WQv Calculation'!$B$8:$B$37)))</f>
        <v/>
      </c>
      <c r="C61" s="167" t="str">
        <f>IF($A61="","",(LOOKUP($A61,'STEP 2-WQv Calculation'!$A$8:$A$37,'STEP 2-WQv Calculation'!$C$8:$C$37)))</f>
        <v/>
      </c>
      <c r="D61" s="168" t="str">
        <f>IF($A61="","",(LOOKUP($A61,'STEP 2-WQv Calculation'!$A$8:$A$37,'STEP 2-WQv Calculation'!$D$8:$D$37)))</f>
        <v/>
      </c>
      <c r="E61" s="167" t="str">
        <f>IF($A61="","",(LOOKUP($A61,'STEP 2-WQv Calculation'!$A$8:$A$37,'STEP 2-WQv Calculation'!$E$8:$E$37)))</f>
        <v/>
      </c>
      <c r="F61" s="169" t="str">
        <f>IF($A61="","",(LOOKUP($A61,'STEP 2-WQv Calculation'!$A$8:$A$37,'STEP 2-WQv Calculation'!$F$8:$F$37)))</f>
        <v/>
      </c>
      <c r="G61" s="170">
        <f>'STEP 2-WQv Calculation'!$B$5</f>
        <v>0</v>
      </c>
      <c r="H61" s="171" t="str">
        <f>IF($A61="","",(LOOKUP($A61,'STEP 2-WQv Calculation'!$A$8:$A$37,'STEP 2-WQv Calculation'!$G$8:$G$37)))</f>
        <v/>
      </c>
    </row>
    <row r="62" spans="1:8" ht="13.15" customHeight="1" x14ac:dyDescent="0.3">
      <c r="A62" s="360" t="s">
        <v>226</v>
      </c>
      <c r="B62" s="361"/>
      <c r="C62" s="361"/>
      <c r="D62" s="361"/>
      <c r="E62" s="361"/>
      <c r="F62" s="361"/>
      <c r="G62" s="361"/>
      <c r="H62" s="362"/>
    </row>
    <row r="63" spans="1:8" ht="37.5" customHeight="1" x14ac:dyDescent="0.25">
      <c r="A63" s="242" t="s">
        <v>625</v>
      </c>
      <c r="B63" s="243"/>
      <c r="C63" s="244"/>
      <c r="D63" s="139"/>
      <c r="E63" s="322" t="str">
        <f>IF(D63="No","Does not meet Section 9.4.1 evaluation requirements","")</f>
        <v/>
      </c>
      <c r="F63" s="323"/>
      <c r="G63" s="323"/>
      <c r="H63" s="324"/>
    </row>
    <row r="64" spans="1:8" ht="26.25" customHeight="1" x14ac:dyDescent="0.25">
      <c r="A64" s="242" t="s">
        <v>626</v>
      </c>
      <c r="B64" s="243"/>
      <c r="C64" s="244"/>
      <c r="D64" s="139"/>
      <c r="E64" s="322" t="str">
        <f>IF(D64="Yes","Practice must be included on NYSDEC list for Verified Proprietary Practices for New Development","")</f>
        <v/>
      </c>
      <c r="F64" s="323"/>
      <c r="G64" s="323"/>
      <c r="H64" s="324"/>
    </row>
    <row r="65" spans="1:8" ht="25.5" customHeight="1" x14ac:dyDescent="0.25">
      <c r="A65" s="242" t="s">
        <v>627</v>
      </c>
      <c r="B65" s="243"/>
      <c r="C65" s="244"/>
      <c r="D65" s="139"/>
      <c r="E65" s="322" t="str">
        <f>IF(D65="","",IF(D64="No","Not applicable",IF(AND(D64="Yes",D65="No"),"Practice is not approved for new development",IF(AND(D64="Yes",D65="Yes"),""))))</f>
        <v/>
      </c>
      <c r="F65" s="323"/>
      <c r="G65" s="323"/>
      <c r="H65" s="324"/>
    </row>
    <row r="66" spans="1:8" ht="12.75" customHeight="1" x14ac:dyDescent="0.25">
      <c r="A66" s="242" t="s">
        <v>628</v>
      </c>
      <c r="B66" s="243"/>
      <c r="C66" s="244"/>
      <c r="D66" s="139"/>
      <c r="E66" s="322" t="str">
        <f>IF(D66="","",IF(D66="Yes","Design must include flow diversion",IF(D66="No","Practice must have adequate bypass capacity")))</f>
        <v/>
      </c>
      <c r="F66" s="323"/>
      <c r="G66" s="323"/>
      <c r="H66" s="324"/>
    </row>
    <row r="67" spans="1:8" ht="12.75" customHeight="1" x14ac:dyDescent="0.25">
      <c r="A67" s="242" t="s">
        <v>629</v>
      </c>
      <c r="B67" s="243"/>
      <c r="C67" s="244"/>
      <c r="D67" s="139"/>
      <c r="E67" s="322" t="str">
        <f>IF(D66="","",IF(AND(D66="No",D67=""),"Not applicable",IF(AND(D66="Yes",D67=""),"",IF(AND(D66="Yes",D67="No"),"Does not meet sizing criteria",IF(AND(D66="Yes",D67="Yes"),"")))))</f>
        <v/>
      </c>
      <c r="F67" s="323"/>
      <c r="G67" s="323"/>
      <c r="H67" s="324"/>
    </row>
    <row r="68" spans="1:8" ht="12.75" customHeight="1" x14ac:dyDescent="0.25">
      <c r="A68" s="242" t="s">
        <v>630</v>
      </c>
      <c r="B68" s="243"/>
      <c r="C68" s="244"/>
      <c r="D68" s="139"/>
      <c r="E68" s="322" t="str">
        <f>IF(D66="Yes","Not applicable","")</f>
        <v/>
      </c>
      <c r="F68" s="323"/>
      <c r="G68" s="323"/>
      <c r="H68" s="324"/>
    </row>
    <row r="69" spans="1:8" ht="12.75" customHeight="1" x14ac:dyDescent="0.25">
      <c r="A69" s="242" t="s">
        <v>631</v>
      </c>
      <c r="B69" s="243"/>
      <c r="C69" s="244"/>
      <c r="D69" s="139"/>
      <c r="E69" s="322" t="str">
        <f>IF(AND(D66="Yes",D69=""),"Not applicable",IF(F61="","",IF(D66="Yes","Not applicable",IF(D69&lt;D68,"Does not meet sizing criteria",""))))</f>
        <v/>
      </c>
      <c r="F69" s="323"/>
      <c r="G69" s="323"/>
      <c r="H69" s="324"/>
    </row>
    <row r="70" spans="1:8" ht="12.75" customHeight="1" x14ac:dyDescent="0.25">
      <c r="A70" s="242" t="s">
        <v>632</v>
      </c>
      <c r="B70" s="243"/>
      <c r="C70" s="244"/>
      <c r="D70" s="442"/>
      <c r="E70" s="443"/>
      <c r="F70" s="443"/>
      <c r="G70" s="443"/>
      <c r="H70" s="444"/>
    </row>
    <row r="71" spans="1:8" ht="13.15" customHeight="1" x14ac:dyDescent="0.3">
      <c r="A71" s="433" t="s">
        <v>232</v>
      </c>
      <c r="B71" s="434"/>
      <c r="C71" s="434"/>
      <c r="D71" s="361"/>
      <c r="E71" s="361"/>
      <c r="F71" s="361"/>
      <c r="G71" s="361"/>
      <c r="H71" s="362"/>
    </row>
    <row r="72" spans="1:8" ht="13" x14ac:dyDescent="0.3">
      <c r="A72" s="346"/>
      <c r="B72" s="347"/>
      <c r="C72" s="348"/>
      <c r="D72" s="47" t="s">
        <v>256</v>
      </c>
      <c r="E72" s="48" t="s">
        <v>257</v>
      </c>
      <c r="F72" s="349" t="s">
        <v>258</v>
      </c>
      <c r="G72" s="350"/>
      <c r="H72" s="351"/>
    </row>
    <row r="73" spans="1:8" x14ac:dyDescent="0.25">
      <c r="A73" s="289" t="s">
        <v>327</v>
      </c>
      <c r="B73" s="289"/>
      <c r="C73" s="159" t="s">
        <v>328</v>
      </c>
      <c r="D73" s="183"/>
      <c r="E73" s="193" t="s">
        <v>329</v>
      </c>
      <c r="F73" s="345" t="s">
        <v>330</v>
      </c>
      <c r="G73" s="345"/>
      <c r="H73" s="345"/>
    </row>
    <row r="74" spans="1:8" x14ac:dyDescent="0.25">
      <c r="A74" s="289" t="s">
        <v>633</v>
      </c>
      <c r="B74" s="289"/>
      <c r="C74" s="159" t="s">
        <v>634</v>
      </c>
      <c r="D74" s="183"/>
      <c r="E74" s="193" t="s">
        <v>329</v>
      </c>
      <c r="F74" s="345" t="str">
        <f>IF(D74="","",IF(D74&lt;D73,"Does not meet sizing criteria",""))</f>
        <v/>
      </c>
      <c r="G74" s="345"/>
      <c r="H74" s="345"/>
    </row>
    <row r="75" spans="1:8" ht="15" customHeight="1" x14ac:dyDescent="0.25">
      <c r="A75" s="390" t="s">
        <v>468</v>
      </c>
      <c r="B75" s="390"/>
      <c r="C75" s="390"/>
      <c r="D75" s="390"/>
      <c r="E75" s="390"/>
      <c r="F75" s="390"/>
      <c r="G75" s="390"/>
      <c r="H75" s="390"/>
    </row>
    <row r="76" spans="1:8" ht="15" customHeight="1" x14ac:dyDescent="0.25">
      <c r="A76" s="398" t="s">
        <v>469</v>
      </c>
      <c r="B76" s="399"/>
      <c r="C76" s="400"/>
      <c r="D76" s="181" t="str">
        <f>IF(A61="","",IF(D63="No",0,IF(AND(D64="Yes",D65="No"),0,IF(AND(D66="Yes",D67="No"),0,IF(AND(D66="No",D69&lt;D68),0,IF(D74&lt;D73,0,F61))))))</f>
        <v/>
      </c>
      <c r="E76" s="182" t="s">
        <v>2</v>
      </c>
      <c r="F76" s="440"/>
      <c r="G76" s="441"/>
      <c r="H76" s="441"/>
    </row>
    <row r="77" spans="1:8" ht="13" x14ac:dyDescent="0.25">
      <c r="A77" s="161" t="s">
        <v>56</v>
      </c>
      <c r="B77" s="162" t="str">
        <f>IF('STEP 2-WQv Calculation'!$B$4="","",'STEP 2-WQv Calculation'!$B$4)</f>
        <v/>
      </c>
      <c r="C77" s="163"/>
      <c r="D77" s="163"/>
      <c r="E77" s="163"/>
      <c r="F77" s="163"/>
      <c r="G77" s="163"/>
      <c r="H77" s="163"/>
    </row>
    <row r="78" spans="1:8" ht="13.15" customHeight="1" x14ac:dyDescent="0.3">
      <c r="A78" s="360" t="s">
        <v>293</v>
      </c>
      <c r="B78" s="361"/>
      <c r="C78" s="361"/>
      <c r="D78" s="361"/>
      <c r="E78" s="361"/>
      <c r="F78" s="361"/>
      <c r="G78" s="361"/>
      <c r="H78" s="362"/>
    </row>
    <row r="79" spans="1:8" ht="38.5" x14ac:dyDescent="0.25">
      <c r="A79" s="164" t="s">
        <v>60</v>
      </c>
      <c r="B79" s="165" t="s">
        <v>600</v>
      </c>
      <c r="C79" s="165" t="s">
        <v>601</v>
      </c>
      <c r="D79" s="165" t="s">
        <v>602</v>
      </c>
      <c r="E79" s="165" t="s">
        <v>64</v>
      </c>
      <c r="F79" s="165" t="s">
        <v>603</v>
      </c>
      <c r="G79" s="165" t="s">
        <v>604</v>
      </c>
      <c r="H79" s="166" t="s">
        <v>13</v>
      </c>
    </row>
    <row r="80" spans="1:8" ht="39" customHeight="1" x14ac:dyDescent="0.25">
      <c r="A80" s="178"/>
      <c r="B80" s="167" t="str">
        <f>IF($A80="","",(LOOKUP($A80,'STEP 2-WQv Calculation'!$A$8:$A$37,'STEP 2-WQv Calculation'!$B$8:$B$37)))</f>
        <v/>
      </c>
      <c r="C80" s="167" t="str">
        <f>IF($A80="","",(LOOKUP($A80,'STEP 2-WQv Calculation'!$A$8:$A$37,'STEP 2-WQv Calculation'!$C$8:$C$37)))</f>
        <v/>
      </c>
      <c r="D80" s="168" t="str">
        <f>IF($A80="","",(LOOKUP($A80,'STEP 2-WQv Calculation'!$A$8:$A$37,'STEP 2-WQv Calculation'!$D$8:$D$37)))</f>
        <v/>
      </c>
      <c r="E80" s="167" t="str">
        <f>IF($A80="","",(LOOKUP($A80,'STEP 2-WQv Calculation'!$A$8:$A$37,'STEP 2-WQv Calculation'!$E$8:$E$37)))</f>
        <v/>
      </c>
      <c r="F80" s="169" t="str">
        <f>IF($A80="","",(LOOKUP($A80,'STEP 2-WQv Calculation'!$A$8:$A$37,'STEP 2-WQv Calculation'!$F$8:$F$37)))</f>
        <v/>
      </c>
      <c r="G80" s="170">
        <f>'STEP 2-WQv Calculation'!$B$5</f>
        <v>0</v>
      </c>
      <c r="H80" s="171" t="str">
        <f>IF($A80="","",(LOOKUP($A80,'STEP 2-WQv Calculation'!$A$8:$A$37,'STEP 2-WQv Calculation'!$G$8:$G$37)))</f>
        <v/>
      </c>
    </row>
    <row r="81" spans="1:8" ht="13.15" customHeight="1" x14ac:dyDescent="0.3">
      <c r="A81" s="360" t="s">
        <v>226</v>
      </c>
      <c r="B81" s="361"/>
      <c r="C81" s="361"/>
      <c r="D81" s="361"/>
      <c r="E81" s="361"/>
      <c r="F81" s="361"/>
      <c r="G81" s="361"/>
      <c r="H81" s="362"/>
    </row>
    <row r="82" spans="1:8" ht="51.75" customHeight="1" x14ac:dyDescent="0.25">
      <c r="A82" s="242" t="s">
        <v>625</v>
      </c>
      <c r="B82" s="243"/>
      <c r="C82" s="244"/>
      <c r="D82" s="139"/>
      <c r="E82" s="322" t="str">
        <f>IF(D82="No","Does not meet Section 9.4.1 evaluation requirements","")</f>
        <v/>
      </c>
      <c r="F82" s="323"/>
      <c r="G82" s="323"/>
      <c r="H82" s="324"/>
    </row>
    <row r="83" spans="1:8" ht="24.75" customHeight="1" x14ac:dyDescent="0.25">
      <c r="A83" s="242" t="s">
        <v>626</v>
      </c>
      <c r="B83" s="243"/>
      <c r="C83" s="244"/>
      <c r="D83" s="139"/>
      <c r="E83" s="322" t="str">
        <f>IF(D83="Yes","Practice must be included on NYSDEC list for Verified Proprietary Practices for New Development","")</f>
        <v/>
      </c>
      <c r="F83" s="323"/>
      <c r="G83" s="323"/>
      <c r="H83" s="324"/>
    </row>
    <row r="84" spans="1:8" ht="39" customHeight="1" x14ac:dyDescent="0.25">
      <c r="A84" s="242" t="s">
        <v>627</v>
      </c>
      <c r="B84" s="243"/>
      <c r="C84" s="244"/>
      <c r="D84" s="139"/>
      <c r="E84" s="322" t="str">
        <f>IF(D84="","",IF(D83="No","Not applicable",IF(AND(D83="Yes",D84="No"),"Practice is not approved for new development",IF(AND(D83="Yes",D84="Yes"),""))))</f>
        <v/>
      </c>
      <c r="F84" s="323"/>
      <c r="G84" s="323"/>
      <c r="H84" s="324"/>
    </row>
    <row r="85" spans="1:8" ht="12.75" customHeight="1" x14ac:dyDescent="0.25">
      <c r="A85" s="242" t="s">
        <v>628</v>
      </c>
      <c r="B85" s="243"/>
      <c r="C85" s="244"/>
      <c r="D85" s="139"/>
      <c r="E85" s="322" t="str">
        <f>IF(D85="","",IF(D85="Yes","Design must include flow diversion",IF(D85="No","Practice must have adequate bypass capacity")))</f>
        <v/>
      </c>
      <c r="F85" s="323"/>
      <c r="G85" s="323"/>
      <c r="H85" s="324"/>
    </row>
    <row r="86" spans="1:8" ht="12.75" customHeight="1" x14ac:dyDescent="0.25">
      <c r="A86" s="242" t="s">
        <v>629</v>
      </c>
      <c r="B86" s="243"/>
      <c r="C86" s="244"/>
      <c r="D86" s="139"/>
      <c r="E86" s="322" t="str">
        <f>IF(D85="","",IF(AND(D85="No",D86=""),"Not applicable",IF(AND(D85="Yes",D86=""),"",IF(AND(D85="Yes",D86="No"),"Does not meet sizing criteria",IF(AND(D85="Yes",D86="Yes"),"")))))</f>
        <v/>
      </c>
      <c r="F86" s="323"/>
      <c r="G86" s="323"/>
      <c r="H86" s="324"/>
    </row>
    <row r="87" spans="1:8" ht="12.75" customHeight="1" x14ac:dyDescent="0.25">
      <c r="A87" s="242" t="s">
        <v>630</v>
      </c>
      <c r="B87" s="243"/>
      <c r="C87" s="244"/>
      <c r="D87" s="139"/>
      <c r="E87" s="322" t="str">
        <f>IF(D85="Yes","Not applicable","")</f>
        <v/>
      </c>
      <c r="F87" s="323"/>
      <c r="G87" s="323"/>
      <c r="H87" s="324"/>
    </row>
    <row r="88" spans="1:8" ht="12.75" customHeight="1" x14ac:dyDescent="0.25">
      <c r="A88" s="242" t="s">
        <v>631</v>
      </c>
      <c r="B88" s="243"/>
      <c r="C88" s="244"/>
      <c r="D88" s="139"/>
      <c r="E88" s="322" t="str">
        <f>IF(AND(D85="Yes",D88=""),"Not applicable",IF(F80="","",IF(D85="Yes","Not applicable",IF(D88&lt;D87,"Does not meet sizing criteria",""))))</f>
        <v/>
      </c>
      <c r="F88" s="323"/>
      <c r="G88" s="323"/>
      <c r="H88" s="324"/>
    </row>
    <row r="89" spans="1:8" ht="12.75" customHeight="1" x14ac:dyDescent="0.25">
      <c r="A89" s="242" t="s">
        <v>632</v>
      </c>
      <c r="B89" s="243"/>
      <c r="C89" s="244"/>
      <c r="D89" s="442"/>
      <c r="E89" s="443"/>
      <c r="F89" s="443"/>
      <c r="G89" s="443"/>
      <c r="H89" s="444"/>
    </row>
    <row r="90" spans="1:8" ht="13.15" customHeight="1" x14ac:dyDescent="0.3">
      <c r="A90" s="433" t="s">
        <v>232</v>
      </c>
      <c r="B90" s="434"/>
      <c r="C90" s="434"/>
      <c r="D90" s="361"/>
      <c r="E90" s="361"/>
      <c r="F90" s="361"/>
      <c r="G90" s="361"/>
      <c r="H90" s="362"/>
    </row>
    <row r="91" spans="1:8" ht="13" x14ac:dyDescent="0.3">
      <c r="A91" s="346"/>
      <c r="B91" s="347"/>
      <c r="C91" s="348"/>
      <c r="D91" s="47" t="s">
        <v>256</v>
      </c>
      <c r="E91" s="48" t="s">
        <v>257</v>
      </c>
      <c r="F91" s="349" t="s">
        <v>258</v>
      </c>
      <c r="G91" s="350"/>
      <c r="H91" s="351"/>
    </row>
    <row r="92" spans="1:8" x14ac:dyDescent="0.25">
      <c r="A92" s="289" t="s">
        <v>327</v>
      </c>
      <c r="B92" s="289"/>
      <c r="C92" s="159" t="s">
        <v>328</v>
      </c>
      <c r="D92" s="183"/>
      <c r="E92" s="193" t="s">
        <v>329</v>
      </c>
      <c r="F92" s="345" t="s">
        <v>330</v>
      </c>
      <c r="G92" s="345"/>
      <c r="H92" s="345"/>
    </row>
    <row r="93" spans="1:8" x14ac:dyDescent="0.25">
      <c r="A93" s="289" t="s">
        <v>633</v>
      </c>
      <c r="B93" s="289"/>
      <c r="C93" s="159" t="s">
        <v>634</v>
      </c>
      <c r="D93" s="183"/>
      <c r="E93" s="193" t="s">
        <v>329</v>
      </c>
      <c r="F93" s="345" t="str">
        <f>IF(D93="","",IF(D93&lt;D92,"Does not meet sizing criteria",""))</f>
        <v/>
      </c>
      <c r="G93" s="345"/>
      <c r="H93" s="345"/>
    </row>
    <row r="94" spans="1:8" ht="15" customHeight="1" x14ac:dyDescent="0.25">
      <c r="A94" s="390" t="s">
        <v>468</v>
      </c>
      <c r="B94" s="390"/>
      <c r="C94" s="390"/>
      <c r="D94" s="390"/>
      <c r="E94" s="390"/>
      <c r="F94" s="390"/>
      <c r="G94" s="390"/>
      <c r="H94" s="390"/>
    </row>
    <row r="95" spans="1:8" ht="15" customHeight="1" x14ac:dyDescent="0.25">
      <c r="A95" s="398" t="s">
        <v>469</v>
      </c>
      <c r="B95" s="399"/>
      <c r="C95" s="400"/>
      <c r="D95" s="181" t="str">
        <f>IF(A80="","",IF(D82="No",0,IF(AND(D83="Yes",D84="No"),0,IF(AND(D85="Yes",D86="No"),0,IF(AND(D85="No",D88&lt;D87),0,IF(D93&lt;D92,0,F80))))))</f>
        <v/>
      </c>
      <c r="E95" s="182" t="s">
        <v>2</v>
      </c>
      <c r="F95" s="440"/>
      <c r="G95" s="441"/>
      <c r="H95" s="441"/>
    </row>
    <row r="96" spans="1:8" ht="13" x14ac:dyDescent="0.25">
      <c r="A96" s="161" t="s">
        <v>56</v>
      </c>
      <c r="B96" s="162" t="str">
        <f>IF('STEP 2-WQv Calculation'!$B$4="","",'STEP 2-WQv Calculation'!$B$4)</f>
        <v/>
      </c>
      <c r="C96" s="163"/>
      <c r="D96" s="163"/>
      <c r="E96" s="163"/>
      <c r="F96" s="163"/>
      <c r="G96" s="163"/>
      <c r="H96" s="163"/>
    </row>
    <row r="97" spans="1:8" ht="13" x14ac:dyDescent="0.3">
      <c r="A97" s="360" t="s">
        <v>293</v>
      </c>
      <c r="B97" s="361"/>
      <c r="C97" s="361"/>
      <c r="D97" s="361"/>
      <c r="E97" s="361"/>
      <c r="F97" s="361"/>
      <c r="G97" s="361"/>
      <c r="H97" s="362"/>
    </row>
    <row r="98" spans="1:8" ht="38.5" x14ac:dyDescent="0.25">
      <c r="A98" s="164" t="s">
        <v>60</v>
      </c>
      <c r="B98" s="165" t="s">
        <v>600</v>
      </c>
      <c r="C98" s="165" t="s">
        <v>601</v>
      </c>
      <c r="D98" s="165" t="s">
        <v>602</v>
      </c>
      <c r="E98" s="165" t="s">
        <v>64</v>
      </c>
      <c r="F98" s="165" t="s">
        <v>603</v>
      </c>
      <c r="G98" s="165" t="s">
        <v>604</v>
      </c>
      <c r="H98" s="166" t="s">
        <v>13</v>
      </c>
    </row>
    <row r="99" spans="1:8" x14ac:dyDescent="0.25">
      <c r="A99" s="178"/>
      <c r="B99" s="167" t="str">
        <f>IF($A99="","",(LOOKUP($A99,'STEP 2-WQv Calculation'!$A$8:$A$37,'STEP 2-WQv Calculation'!$B$8:$B$37)))</f>
        <v/>
      </c>
      <c r="C99" s="167" t="str">
        <f>IF($A99="","",(LOOKUP($A99,'STEP 2-WQv Calculation'!$A$8:$A$37,'STEP 2-WQv Calculation'!$C$8:$C$37)))</f>
        <v/>
      </c>
      <c r="D99" s="168" t="str">
        <f>IF($A99="","",(LOOKUP($A99,'STEP 2-WQv Calculation'!$A$8:$A$37,'STEP 2-WQv Calculation'!$D$8:$D$37)))</f>
        <v/>
      </c>
      <c r="E99" s="167" t="str">
        <f>IF($A99="","",(LOOKUP($A99,'STEP 2-WQv Calculation'!$A$8:$A$37,'STEP 2-WQv Calculation'!$E$8:$E$37)))</f>
        <v/>
      </c>
      <c r="F99" s="169" t="str">
        <f>IF($A99="","",(LOOKUP($A99,'STEP 2-WQv Calculation'!$A$8:$A$37,'STEP 2-WQv Calculation'!$F$8:$F$37)))</f>
        <v/>
      </c>
      <c r="G99" s="170">
        <f>'STEP 2-WQv Calculation'!$B$5</f>
        <v>0</v>
      </c>
      <c r="H99" s="171" t="str">
        <f>IF($A99="","",(LOOKUP($A99,'STEP 2-WQv Calculation'!$A$8:$A$37,'STEP 2-WQv Calculation'!$G$8:$G$37)))</f>
        <v/>
      </c>
    </row>
    <row r="100" spans="1:8" ht="13" x14ac:dyDescent="0.3">
      <c r="A100" s="360" t="s">
        <v>226</v>
      </c>
      <c r="B100" s="361"/>
      <c r="C100" s="361"/>
      <c r="D100" s="361"/>
      <c r="E100" s="361"/>
      <c r="F100" s="361"/>
      <c r="G100" s="361"/>
      <c r="H100" s="362"/>
    </row>
    <row r="101" spans="1:8" x14ac:dyDescent="0.25">
      <c r="A101" s="242" t="s">
        <v>625</v>
      </c>
      <c r="B101" s="243"/>
      <c r="C101" s="244"/>
      <c r="D101" s="139"/>
      <c r="E101" s="322" t="str">
        <f>IF(D101="No","Does not meet Section 9.4.1 evaluation requirements","")</f>
        <v/>
      </c>
      <c r="F101" s="323"/>
      <c r="G101" s="323"/>
      <c r="H101" s="324"/>
    </row>
    <row r="102" spans="1:8" x14ac:dyDescent="0.25">
      <c r="A102" s="242" t="s">
        <v>626</v>
      </c>
      <c r="B102" s="243"/>
      <c r="C102" s="244"/>
      <c r="D102" s="139"/>
      <c r="E102" s="322" t="str">
        <f>IF(D102="Yes","Practice must be included on NYSDEC list for Verified Proprietary Practices for New Development","")</f>
        <v/>
      </c>
      <c r="F102" s="323"/>
      <c r="G102" s="323"/>
      <c r="H102" s="324"/>
    </row>
    <row r="103" spans="1:8" x14ac:dyDescent="0.25">
      <c r="A103" s="242" t="s">
        <v>627</v>
      </c>
      <c r="B103" s="243"/>
      <c r="C103" s="244"/>
      <c r="D103" s="139"/>
      <c r="E103" s="322" t="str">
        <f>IF(D103="","",IF(D102="No","Not applicable",IF(AND(D102="Yes",D103="No"),"Practice is not approved for new development",IF(AND(D102="Yes",D103="Yes"),""))))</f>
        <v/>
      </c>
      <c r="F103" s="323"/>
      <c r="G103" s="323"/>
      <c r="H103" s="324"/>
    </row>
    <row r="104" spans="1:8" x14ac:dyDescent="0.25">
      <c r="A104" s="242" t="s">
        <v>628</v>
      </c>
      <c r="B104" s="243"/>
      <c r="C104" s="244"/>
      <c r="D104" s="139"/>
      <c r="E104" s="322" t="str">
        <f>IF(D104="","",IF(D104="Yes","Design must include flow diversion",IF(D104="No","Practice must have adequate bypass capacity")))</f>
        <v/>
      </c>
      <c r="F104" s="323"/>
      <c r="G104" s="323"/>
      <c r="H104" s="324"/>
    </row>
    <row r="105" spans="1:8" x14ac:dyDescent="0.25">
      <c r="A105" s="242" t="s">
        <v>629</v>
      </c>
      <c r="B105" s="243"/>
      <c r="C105" s="244"/>
      <c r="D105" s="139"/>
      <c r="E105" s="322" t="str">
        <f>IF(D104="","",IF(AND(D104="No",D105=""),"Not applicable",IF(AND(D104="Yes",D105=""),"",IF(AND(D104="Yes",D105="No"),"Does not meet sizing criteria",IF(AND(D104="Yes",D105="Yes"),"")))))</f>
        <v/>
      </c>
      <c r="F105" s="323"/>
      <c r="G105" s="323"/>
      <c r="H105" s="324"/>
    </row>
    <row r="106" spans="1:8" x14ac:dyDescent="0.25">
      <c r="A106" s="242" t="s">
        <v>630</v>
      </c>
      <c r="B106" s="243"/>
      <c r="C106" s="244"/>
      <c r="D106" s="139"/>
      <c r="E106" s="322" t="str">
        <f>IF(D104="Yes","Not applicable","")</f>
        <v/>
      </c>
      <c r="F106" s="323"/>
      <c r="G106" s="323"/>
      <c r="H106" s="324"/>
    </row>
    <row r="107" spans="1:8" x14ac:dyDescent="0.25">
      <c r="A107" s="242" t="s">
        <v>631</v>
      </c>
      <c r="B107" s="243"/>
      <c r="C107" s="244"/>
      <c r="D107" s="139"/>
      <c r="E107" s="322" t="str">
        <f>IF(AND(D104="Yes",D107=""),"Not applicable",IF(F99="","",IF(D104="Yes","Not applicable",IF(D107&lt;D106,"Does not meet sizing criteria",""))))</f>
        <v/>
      </c>
      <c r="F107" s="323"/>
      <c r="G107" s="323"/>
      <c r="H107" s="324"/>
    </row>
    <row r="108" spans="1:8" x14ac:dyDescent="0.25">
      <c r="A108" s="242" t="s">
        <v>632</v>
      </c>
      <c r="B108" s="243"/>
      <c r="C108" s="244"/>
      <c r="D108" s="442"/>
      <c r="E108" s="443"/>
      <c r="F108" s="443"/>
      <c r="G108" s="443"/>
      <c r="H108" s="444"/>
    </row>
    <row r="109" spans="1:8" ht="13" x14ac:dyDescent="0.3">
      <c r="A109" s="433" t="s">
        <v>232</v>
      </c>
      <c r="B109" s="434"/>
      <c r="C109" s="434"/>
      <c r="D109" s="361"/>
      <c r="E109" s="361"/>
      <c r="F109" s="361"/>
      <c r="G109" s="361"/>
      <c r="H109" s="362"/>
    </row>
    <row r="110" spans="1:8" ht="13" x14ac:dyDescent="0.3">
      <c r="A110" s="346"/>
      <c r="B110" s="347"/>
      <c r="C110" s="348"/>
      <c r="D110" s="47" t="s">
        <v>256</v>
      </c>
      <c r="E110" s="48" t="s">
        <v>257</v>
      </c>
      <c r="F110" s="349" t="s">
        <v>258</v>
      </c>
      <c r="G110" s="350"/>
      <c r="H110" s="351"/>
    </row>
    <row r="111" spans="1:8" x14ac:dyDescent="0.25">
      <c r="A111" s="289" t="s">
        <v>327</v>
      </c>
      <c r="B111" s="289"/>
      <c r="C111" s="159" t="s">
        <v>328</v>
      </c>
      <c r="D111" s="183"/>
      <c r="E111" s="193" t="s">
        <v>329</v>
      </c>
      <c r="F111" s="345" t="s">
        <v>330</v>
      </c>
      <c r="G111" s="345"/>
      <c r="H111" s="345"/>
    </row>
    <row r="112" spans="1:8" x14ac:dyDescent="0.25">
      <c r="A112" s="289" t="s">
        <v>633</v>
      </c>
      <c r="B112" s="289"/>
      <c r="C112" s="159" t="s">
        <v>634</v>
      </c>
      <c r="D112" s="183"/>
      <c r="E112" s="193" t="s">
        <v>329</v>
      </c>
      <c r="F112" s="345" t="str">
        <f>IF(D112="","",IF(D112&lt;D111,"Does not meet sizing criteria",""))</f>
        <v/>
      </c>
      <c r="G112" s="345"/>
      <c r="H112" s="345"/>
    </row>
    <row r="113" spans="1:8" ht="13" x14ac:dyDescent="0.25">
      <c r="A113" s="390" t="s">
        <v>468</v>
      </c>
      <c r="B113" s="390"/>
      <c r="C113" s="390"/>
      <c r="D113" s="390"/>
      <c r="E113" s="390"/>
      <c r="F113" s="390"/>
      <c r="G113" s="390"/>
      <c r="H113" s="390"/>
    </row>
    <row r="114" spans="1:8" ht="13" x14ac:dyDescent="0.25">
      <c r="A114" s="398" t="s">
        <v>469</v>
      </c>
      <c r="B114" s="399"/>
      <c r="C114" s="400"/>
      <c r="D114" s="181" t="str">
        <f>IF(A99="","",IF(D101="No",0,IF(AND(D102="Yes",D103="No"),0,IF(AND(D104="Yes",D105="No"),0,IF(AND(D104="No",D107&lt;D106),0,IF(D112&lt;D111,0,F99))))))</f>
        <v/>
      </c>
      <c r="E114" s="182" t="s">
        <v>2</v>
      </c>
      <c r="F114" s="440"/>
      <c r="G114" s="441"/>
      <c r="H114" s="441"/>
    </row>
    <row r="115" spans="1:8" ht="13" x14ac:dyDescent="0.25">
      <c r="A115" s="161" t="s">
        <v>56</v>
      </c>
      <c r="B115" s="162" t="str">
        <f>IF('STEP 2-WQv Calculation'!$B$4="","",'STEP 2-WQv Calculation'!$B$4)</f>
        <v/>
      </c>
      <c r="C115" s="163"/>
      <c r="D115" s="163"/>
      <c r="E115" s="163"/>
      <c r="F115" s="163"/>
      <c r="G115" s="163"/>
      <c r="H115" s="163"/>
    </row>
    <row r="116" spans="1:8" ht="13" x14ac:dyDescent="0.3">
      <c r="A116" s="360" t="s">
        <v>293</v>
      </c>
      <c r="B116" s="361"/>
      <c r="C116" s="361"/>
      <c r="D116" s="361"/>
      <c r="E116" s="361"/>
      <c r="F116" s="361"/>
      <c r="G116" s="361"/>
      <c r="H116" s="362"/>
    </row>
    <row r="117" spans="1:8" ht="38.5" x14ac:dyDescent="0.25">
      <c r="A117" s="164" t="s">
        <v>60</v>
      </c>
      <c r="B117" s="165" t="s">
        <v>600</v>
      </c>
      <c r="C117" s="165" t="s">
        <v>601</v>
      </c>
      <c r="D117" s="165" t="s">
        <v>602</v>
      </c>
      <c r="E117" s="165" t="s">
        <v>64</v>
      </c>
      <c r="F117" s="165" t="s">
        <v>603</v>
      </c>
      <c r="G117" s="165" t="s">
        <v>604</v>
      </c>
      <c r="H117" s="166" t="s">
        <v>13</v>
      </c>
    </row>
    <row r="118" spans="1:8" x14ac:dyDescent="0.25">
      <c r="A118" s="178"/>
      <c r="B118" s="167" t="str">
        <f>IF($A118="","",(LOOKUP($A118,'STEP 2-WQv Calculation'!$A$8:$A$37,'STEP 2-WQv Calculation'!$B$8:$B$37)))</f>
        <v/>
      </c>
      <c r="C118" s="167" t="str">
        <f>IF($A118="","",(LOOKUP($A118,'STEP 2-WQv Calculation'!$A$8:$A$37,'STEP 2-WQv Calculation'!$C$8:$C$37)))</f>
        <v/>
      </c>
      <c r="D118" s="168" t="str">
        <f>IF($A118="","",(LOOKUP($A118,'STEP 2-WQv Calculation'!$A$8:$A$37,'STEP 2-WQv Calculation'!$D$8:$D$37)))</f>
        <v/>
      </c>
      <c r="E118" s="167" t="str">
        <f>IF($A118="","",(LOOKUP($A118,'STEP 2-WQv Calculation'!$A$8:$A$37,'STEP 2-WQv Calculation'!$E$8:$E$37)))</f>
        <v/>
      </c>
      <c r="F118" s="169" t="str">
        <f>IF($A118="","",(LOOKUP($A118,'STEP 2-WQv Calculation'!$A$8:$A$37,'STEP 2-WQv Calculation'!$F$8:$F$37)))</f>
        <v/>
      </c>
      <c r="G118" s="170">
        <f>'STEP 2-WQv Calculation'!$B$5</f>
        <v>0</v>
      </c>
      <c r="H118" s="171" t="str">
        <f>IF($A118="","",(LOOKUP($A118,'STEP 2-WQv Calculation'!$A$8:$A$37,'STEP 2-WQv Calculation'!$G$8:$G$37)))</f>
        <v/>
      </c>
    </row>
    <row r="119" spans="1:8" ht="13" x14ac:dyDescent="0.3">
      <c r="A119" s="360" t="s">
        <v>226</v>
      </c>
      <c r="B119" s="361"/>
      <c r="C119" s="361"/>
      <c r="D119" s="361"/>
      <c r="E119" s="361"/>
      <c r="F119" s="361"/>
      <c r="G119" s="361"/>
      <c r="H119" s="362"/>
    </row>
    <row r="120" spans="1:8" x14ac:dyDescent="0.25">
      <c r="A120" s="242" t="s">
        <v>625</v>
      </c>
      <c r="B120" s="243"/>
      <c r="C120" s="244"/>
      <c r="D120" s="139"/>
      <c r="E120" s="322" t="str">
        <f>IF(D120="No","Does not meet Section 9.4.1 evaluation requirements","")</f>
        <v/>
      </c>
      <c r="F120" s="323"/>
      <c r="G120" s="323"/>
      <c r="H120" s="324"/>
    </row>
    <row r="121" spans="1:8" x14ac:dyDescent="0.25">
      <c r="A121" s="242" t="s">
        <v>626</v>
      </c>
      <c r="B121" s="243"/>
      <c r="C121" s="244"/>
      <c r="D121" s="139"/>
      <c r="E121" s="322" t="str">
        <f>IF(D121="Yes","Practice must be included on NYSDEC list for Verified Proprietary Practices for New Development","")</f>
        <v/>
      </c>
      <c r="F121" s="323"/>
      <c r="G121" s="323"/>
      <c r="H121" s="324"/>
    </row>
    <row r="122" spans="1:8" x14ac:dyDescent="0.25">
      <c r="A122" s="242" t="s">
        <v>627</v>
      </c>
      <c r="B122" s="243"/>
      <c r="C122" s="244"/>
      <c r="D122" s="139"/>
      <c r="E122" s="322" t="str">
        <f>IF(D122="","",IF(D121="No","Not applicable",IF(AND(D121="Yes",D122="No"),"Practice is not approved for new development",IF(AND(D121="Yes",D122="Yes"),""))))</f>
        <v/>
      </c>
      <c r="F122" s="323"/>
      <c r="G122" s="323"/>
      <c r="H122" s="324"/>
    </row>
    <row r="123" spans="1:8" x14ac:dyDescent="0.25">
      <c r="A123" s="242" t="s">
        <v>628</v>
      </c>
      <c r="B123" s="243"/>
      <c r="C123" s="244"/>
      <c r="D123" s="139"/>
      <c r="E123" s="322" t="str">
        <f>IF(D123="","",IF(D123="Yes","Design must include flow diversion",IF(D123="No","Practice must have adequate bypass capacity")))</f>
        <v/>
      </c>
      <c r="F123" s="323"/>
      <c r="G123" s="323"/>
      <c r="H123" s="324"/>
    </row>
    <row r="124" spans="1:8" x14ac:dyDescent="0.25">
      <c r="A124" s="242" t="s">
        <v>629</v>
      </c>
      <c r="B124" s="243"/>
      <c r="C124" s="244"/>
      <c r="D124" s="139"/>
      <c r="E124" s="322" t="str">
        <f>IF(D123="","",IF(AND(D123="No",D124=""),"Not applicable",IF(AND(D123="Yes",D124=""),"",IF(AND(D123="Yes",D124="No"),"Does not meet sizing criteria",IF(AND(D123="Yes",D124="Yes"),"")))))</f>
        <v/>
      </c>
      <c r="F124" s="323"/>
      <c r="G124" s="323"/>
      <c r="H124" s="324"/>
    </row>
    <row r="125" spans="1:8" x14ac:dyDescent="0.25">
      <c r="A125" s="242" t="s">
        <v>630</v>
      </c>
      <c r="B125" s="243"/>
      <c r="C125" s="244"/>
      <c r="D125" s="139"/>
      <c r="E125" s="322" t="str">
        <f>IF(D123="Yes","Not applicable","")</f>
        <v/>
      </c>
      <c r="F125" s="323"/>
      <c r="G125" s="323"/>
      <c r="H125" s="324"/>
    </row>
    <row r="126" spans="1:8" x14ac:dyDescent="0.25">
      <c r="A126" s="242" t="s">
        <v>631</v>
      </c>
      <c r="B126" s="243"/>
      <c r="C126" s="244"/>
      <c r="D126" s="139"/>
      <c r="E126" s="322" t="str">
        <f>IF(AND(D123="Yes",D126=""),"Not applicable",IF(F118="","",IF(D123="Yes","Not applicable",IF(D126&lt;D125,"Does not meet sizing criteria",""))))</f>
        <v/>
      </c>
      <c r="F126" s="323"/>
      <c r="G126" s="323"/>
      <c r="H126" s="324"/>
    </row>
    <row r="127" spans="1:8" x14ac:dyDescent="0.25">
      <c r="A127" s="242" t="s">
        <v>632</v>
      </c>
      <c r="B127" s="243"/>
      <c r="C127" s="244"/>
      <c r="D127" s="442"/>
      <c r="E127" s="443"/>
      <c r="F127" s="443"/>
      <c r="G127" s="443"/>
      <c r="H127" s="444"/>
    </row>
    <row r="128" spans="1:8" ht="13" x14ac:dyDescent="0.3">
      <c r="A128" s="433" t="s">
        <v>232</v>
      </c>
      <c r="B128" s="434"/>
      <c r="C128" s="434"/>
      <c r="D128" s="361"/>
      <c r="E128" s="361"/>
      <c r="F128" s="361"/>
      <c r="G128" s="361"/>
      <c r="H128" s="362"/>
    </row>
    <row r="129" spans="1:8" ht="13" x14ac:dyDescent="0.3">
      <c r="A129" s="346"/>
      <c r="B129" s="347"/>
      <c r="C129" s="348"/>
      <c r="D129" s="47" t="s">
        <v>256</v>
      </c>
      <c r="E129" s="48" t="s">
        <v>257</v>
      </c>
      <c r="F129" s="349" t="s">
        <v>258</v>
      </c>
      <c r="G129" s="350"/>
      <c r="H129" s="351"/>
    </row>
    <row r="130" spans="1:8" x14ac:dyDescent="0.25">
      <c r="A130" s="289" t="s">
        <v>327</v>
      </c>
      <c r="B130" s="289"/>
      <c r="C130" s="159" t="s">
        <v>328</v>
      </c>
      <c r="D130" s="183"/>
      <c r="E130" s="193" t="s">
        <v>329</v>
      </c>
      <c r="F130" s="345" t="s">
        <v>330</v>
      </c>
      <c r="G130" s="345"/>
      <c r="H130" s="345"/>
    </row>
    <row r="131" spans="1:8" x14ac:dyDescent="0.25">
      <c r="A131" s="289" t="s">
        <v>633</v>
      </c>
      <c r="B131" s="289"/>
      <c r="C131" s="159" t="s">
        <v>634</v>
      </c>
      <c r="D131" s="183"/>
      <c r="E131" s="193" t="s">
        <v>329</v>
      </c>
      <c r="F131" s="345" t="str">
        <f>IF(D131="","",IF(D131&lt;D130,"Does not meet sizing criteria",""))</f>
        <v/>
      </c>
      <c r="G131" s="345"/>
      <c r="H131" s="345"/>
    </row>
    <row r="132" spans="1:8" ht="13" x14ac:dyDescent="0.25">
      <c r="A132" s="390" t="s">
        <v>468</v>
      </c>
      <c r="B132" s="390"/>
      <c r="C132" s="390"/>
      <c r="D132" s="390"/>
      <c r="E132" s="390"/>
      <c r="F132" s="390"/>
      <c r="G132" s="390"/>
      <c r="H132" s="390"/>
    </row>
    <row r="133" spans="1:8" ht="13" x14ac:dyDescent="0.25">
      <c r="A133" s="398" t="s">
        <v>469</v>
      </c>
      <c r="B133" s="399"/>
      <c r="C133" s="400"/>
      <c r="D133" s="181" t="str">
        <f>IF(A118="","",IF(D120="No",0,IF(AND(D121="Yes",D122="No"),0,IF(AND(D123="Yes",D124="No"),0,IF(AND(D123="No",D126&lt;D125),0,IF(D131&lt;D130,0,F118))))))</f>
        <v/>
      </c>
      <c r="E133" s="182" t="s">
        <v>2</v>
      </c>
      <c r="F133" s="440"/>
      <c r="G133" s="441"/>
      <c r="H133" s="441"/>
    </row>
    <row r="134" spans="1:8" ht="13" x14ac:dyDescent="0.25">
      <c r="A134" s="161" t="s">
        <v>56</v>
      </c>
      <c r="B134" s="162" t="str">
        <f>IF('STEP 2-WQv Calculation'!$B$4="","",'STEP 2-WQv Calculation'!$B$4)</f>
        <v/>
      </c>
      <c r="C134" s="163"/>
      <c r="D134" s="163"/>
      <c r="E134" s="163"/>
      <c r="F134" s="163"/>
      <c r="G134" s="163"/>
      <c r="H134" s="163"/>
    </row>
    <row r="135" spans="1:8" ht="13" x14ac:dyDescent="0.3">
      <c r="A135" s="360" t="s">
        <v>293</v>
      </c>
      <c r="B135" s="361"/>
      <c r="C135" s="361"/>
      <c r="D135" s="361"/>
      <c r="E135" s="361"/>
      <c r="F135" s="361"/>
      <c r="G135" s="361"/>
      <c r="H135" s="362"/>
    </row>
    <row r="136" spans="1:8" ht="38.5" x14ac:dyDescent="0.25">
      <c r="A136" s="164" t="s">
        <v>60</v>
      </c>
      <c r="B136" s="165" t="s">
        <v>600</v>
      </c>
      <c r="C136" s="165" t="s">
        <v>601</v>
      </c>
      <c r="D136" s="165" t="s">
        <v>602</v>
      </c>
      <c r="E136" s="165" t="s">
        <v>64</v>
      </c>
      <c r="F136" s="165" t="s">
        <v>603</v>
      </c>
      <c r="G136" s="165" t="s">
        <v>604</v>
      </c>
      <c r="H136" s="166" t="s">
        <v>13</v>
      </c>
    </row>
    <row r="137" spans="1:8" x14ac:dyDescent="0.25">
      <c r="A137" s="178"/>
      <c r="B137" s="167" t="str">
        <f>IF($A137="","",(LOOKUP($A137,'STEP 2-WQv Calculation'!$A$8:$A$37,'STEP 2-WQv Calculation'!$B$8:$B$37)))</f>
        <v/>
      </c>
      <c r="C137" s="167" t="str">
        <f>IF($A137="","",(LOOKUP($A137,'STEP 2-WQv Calculation'!$A$8:$A$37,'STEP 2-WQv Calculation'!$C$8:$C$37)))</f>
        <v/>
      </c>
      <c r="D137" s="168" t="str">
        <f>IF($A137="","",(LOOKUP($A137,'STEP 2-WQv Calculation'!$A$8:$A$37,'STEP 2-WQv Calculation'!$D$8:$D$37)))</f>
        <v/>
      </c>
      <c r="E137" s="167" t="str">
        <f>IF($A137="","",(LOOKUP($A137,'STEP 2-WQv Calculation'!$A$8:$A$37,'STEP 2-WQv Calculation'!$E$8:$E$37)))</f>
        <v/>
      </c>
      <c r="F137" s="169" t="str">
        <f>IF($A137="","",(LOOKUP($A137,'STEP 2-WQv Calculation'!$A$8:$A$37,'STEP 2-WQv Calculation'!$F$8:$F$37)))</f>
        <v/>
      </c>
      <c r="G137" s="170">
        <f>'STEP 2-WQv Calculation'!$B$5</f>
        <v>0</v>
      </c>
      <c r="H137" s="171" t="str">
        <f>IF($A137="","",(LOOKUP($A137,'STEP 2-WQv Calculation'!$A$8:$A$37,'STEP 2-WQv Calculation'!$G$8:$G$37)))</f>
        <v/>
      </c>
    </row>
    <row r="138" spans="1:8" ht="13" x14ac:dyDescent="0.3">
      <c r="A138" s="360" t="s">
        <v>226</v>
      </c>
      <c r="B138" s="361"/>
      <c r="C138" s="361"/>
      <c r="D138" s="361"/>
      <c r="E138" s="361"/>
      <c r="F138" s="361"/>
      <c r="G138" s="361"/>
      <c r="H138" s="362"/>
    </row>
    <row r="139" spans="1:8" x14ac:dyDescent="0.25">
      <c r="A139" s="242" t="s">
        <v>625</v>
      </c>
      <c r="B139" s="243"/>
      <c r="C139" s="244"/>
      <c r="D139" s="139"/>
      <c r="E139" s="322" t="str">
        <f>IF(D139="No","Does not meet Section 9.4.1 evaluation requirements","")</f>
        <v/>
      </c>
      <c r="F139" s="323"/>
      <c r="G139" s="323"/>
      <c r="H139" s="324"/>
    </row>
    <row r="140" spans="1:8" x14ac:dyDescent="0.25">
      <c r="A140" s="242" t="s">
        <v>626</v>
      </c>
      <c r="B140" s="243"/>
      <c r="C140" s="244"/>
      <c r="D140" s="139"/>
      <c r="E140" s="322" t="str">
        <f>IF(D140="Yes","Practice must be included on NYSDEC list for Verified Proprietary Practices for New Development","")</f>
        <v/>
      </c>
      <c r="F140" s="323"/>
      <c r="G140" s="323"/>
      <c r="H140" s="324"/>
    </row>
    <row r="141" spans="1:8" x14ac:dyDescent="0.25">
      <c r="A141" s="242" t="s">
        <v>627</v>
      </c>
      <c r="B141" s="243"/>
      <c r="C141" s="244"/>
      <c r="D141" s="139"/>
      <c r="E141" s="322" t="str">
        <f>IF(D141="","",IF(D140="No","Not applicable",IF(AND(D140="Yes",D141="No"),"Practice is not approved for new development",IF(AND(D140="Yes",D141="Yes"),""))))</f>
        <v/>
      </c>
      <c r="F141" s="323"/>
      <c r="G141" s="323"/>
      <c r="H141" s="324"/>
    </row>
    <row r="142" spans="1:8" x14ac:dyDescent="0.25">
      <c r="A142" s="242" t="s">
        <v>628</v>
      </c>
      <c r="B142" s="243"/>
      <c r="C142" s="244"/>
      <c r="D142" s="139"/>
      <c r="E142" s="322" t="str">
        <f>IF(D142="","",IF(D142="Yes","Design must include flow diversion",IF(D142="No","Practice must have adequate bypass capacity")))</f>
        <v/>
      </c>
      <c r="F142" s="323"/>
      <c r="G142" s="323"/>
      <c r="H142" s="324"/>
    </row>
    <row r="143" spans="1:8" x14ac:dyDescent="0.25">
      <c r="A143" s="242" t="s">
        <v>629</v>
      </c>
      <c r="B143" s="243"/>
      <c r="C143" s="244"/>
      <c r="D143" s="139"/>
      <c r="E143" s="322" t="str">
        <f>IF(D142="","",IF(AND(D142="No",D143=""),"Not applicable",IF(AND(D142="Yes",D143=""),"",IF(AND(D142="Yes",D143="No"),"Does not meet sizing criteria",IF(AND(D142="Yes",D143="Yes"),"")))))</f>
        <v/>
      </c>
      <c r="F143" s="323"/>
      <c r="G143" s="323"/>
      <c r="H143" s="324"/>
    </row>
    <row r="144" spans="1:8" x14ac:dyDescent="0.25">
      <c r="A144" s="242" t="s">
        <v>630</v>
      </c>
      <c r="B144" s="243"/>
      <c r="C144" s="244"/>
      <c r="D144" s="139"/>
      <c r="E144" s="322" t="str">
        <f>IF(D142="Yes","Not applicable","")</f>
        <v/>
      </c>
      <c r="F144" s="323"/>
      <c r="G144" s="323"/>
      <c r="H144" s="324"/>
    </row>
    <row r="145" spans="1:8" x14ac:dyDescent="0.25">
      <c r="A145" s="242" t="s">
        <v>631</v>
      </c>
      <c r="B145" s="243"/>
      <c r="C145" s="244"/>
      <c r="D145" s="139"/>
      <c r="E145" s="322" t="str">
        <f>IF(AND(D142="Yes",D145=""),"Not applicable",IF(F137="","",IF(D142="Yes","Not applicable",IF(D145&lt;D144,"Does not meet sizing criteria",""))))</f>
        <v/>
      </c>
      <c r="F145" s="323"/>
      <c r="G145" s="323"/>
      <c r="H145" s="324"/>
    </row>
    <row r="146" spans="1:8" x14ac:dyDescent="0.25">
      <c r="A146" s="242" t="s">
        <v>632</v>
      </c>
      <c r="B146" s="243"/>
      <c r="C146" s="244"/>
      <c r="D146" s="442"/>
      <c r="E146" s="443"/>
      <c r="F146" s="443"/>
      <c r="G146" s="443"/>
      <c r="H146" s="444"/>
    </row>
    <row r="147" spans="1:8" ht="13" x14ac:dyDescent="0.3">
      <c r="A147" s="433" t="s">
        <v>232</v>
      </c>
      <c r="B147" s="434"/>
      <c r="C147" s="434"/>
      <c r="D147" s="361"/>
      <c r="E147" s="361"/>
      <c r="F147" s="361"/>
      <c r="G147" s="361"/>
      <c r="H147" s="362"/>
    </row>
    <row r="148" spans="1:8" ht="13" x14ac:dyDescent="0.3">
      <c r="A148" s="346"/>
      <c r="B148" s="347"/>
      <c r="C148" s="348"/>
      <c r="D148" s="47" t="s">
        <v>256</v>
      </c>
      <c r="E148" s="48" t="s">
        <v>257</v>
      </c>
      <c r="F148" s="349" t="s">
        <v>258</v>
      </c>
      <c r="G148" s="350"/>
      <c r="H148" s="351"/>
    </row>
    <row r="149" spans="1:8" x14ac:dyDescent="0.25">
      <c r="A149" s="289" t="s">
        <v>327</v>
      </c>
      <c r="B149" s="289"/>
      <c r="C149" s="159" t="s">
        <v>328</v>
      </c>
      <c r="D149" s="183"/>
      <c r="E149" s="193" t="s">
        <v>329</v>
      </c>
      <c r="F149" s="345" t="s">
        <v>330</v>
      </c>
      <c r="G149" s="345"/>
      <c r="H149" s="345"/>
    </row>
    <row r="150" spans="1:8" x14ac:dyDescent="0.25">
      <c r="A150" s="289" t="s">
        <v>633</v>
      </c>
      <c r="B150" s="289"/>
      <c r="C150" s="159" t="s">
        <v>634</v>
      </c>
      <c r="D150" s="183"/>
      <c r="E150" s="193" t="s">
        <v>329</v>
      </c>
      <c r="F150" s="345" t="str">
        <f>IF(D150="","",IF(D150&lt;D149,"Does not meet sizing criteria",""))</f>
        <v/>
      </c>
      <c r="G150" s="345"/>
      <c r="H150" s="345"/>
    </row>
    <row r="151" spans="1:8" ht="13" x14ac:dyDescent="0.25">
      <c r="A151" s="390" t="s">
        <v>468</v>
      </c>
      <c r="B151" s="390"/>
      <c r="C151" s="390"/>
      <c r="D151" s="390"/>
      <c r="E151" s="390"/>
      <c r="F151" s="390"/>
      <c r="G151" s="390"/>
      <c r="H151" s="390"/>
    </row>
    <row r="152" spans="1:8" ht="13" x14ac:dyDescent="0.25">
      <c r="A152" s="398" t="s">
        <v>469</v>
      </c>
      <c r="B152" s="399"/>
      <c r="C152" s="400"/>
      <c r="D152" s="181" t="str">
        <f>IF(A137="","",IF(D139="No",0,IF(AND(D140="Yes",D141="No"),0,IF(AND(D142="Yes",D143="No"),0,IF(AND(D142="No",D145&lt;D144),0,IF(D150&lt;D149,0,F137))))))</f>
        <v/>
      </c>
      <c r="E152" s="182" t="s">
        <v>2</v>
      </c>
      <c r="F152" s="440"/>
      <c r="G152" s="441"/>
      <c r="H152" s="441"/>
    </row>
    <row r="153" spans="1:8" ht="13" x14ac:dyDescent="0.25">
      <c r="A153" s="161" t="s">
        <v>56</v>
      </c>
      <c r="B153" s="162" t="str">
        <f>IF('STEP 2-WQv Calculation'!$B$4="","",'STEP 2-WQv Calculation'!$B$4)</f>
        <v/>
      </c>
      <c r="C153" s="163"/>
      <c r="D153" s="163"/>
      <c r="E153" s="163"/>
      <c r="F153" s="163"/>
      <c r="G153" s="163"/>
      <c r="H153" s="163"/>
    </row>
    <row r="154" spans="1:8" ht="13" x14ac:dyDescent="0.3">
      <c r="A154" s="360" t="s">
        <v>293</v>
      </c>
      <c r="B154" s="361"/>
      <c r="C154" s="361"/>
      <c r="D154" s="361"/>
      <c r="E154" s="361"/>
      <c r="F154" s="361"/>
      <c r="G154" s="361"/>
      <c r="H154" s="362"/>
    </row>
    <row r="155" spans="1:8" ht="38.5" x14ac:dyDescent="0.25">
      <c r="A155" s="164" t="s">
        <v>60</v>
      </c>
      <c r="B155" s="165" t="s">
        <v>600</v>
      </c>
      <c r="C155" s="165" t="s">
        <v>601</v>
      </c>
      <c r="D155" s="165" t="s">
        <v>602</v>
      </c>
      <c r="E155" s="165" t="s">
        <v>64</v>
      </c>
      <c r="F155" s="165" t="s">
        <v>603</v>
      </c>
      <c r="G155" s="165" t="s">
        <v>604</v>
      </c>
      <c r="H155" s="166" t="s">
        <v>13</v>
      </c>
    </row>
    <row r="156" spans="1:8" x14ac:dyDescent="0.25">
      <c r="A156" s="178"/>
      <c r="B156" s="167" t="str">
        <f>IF($A156="","",(LOOKUP($A156,'STEP 2-WQv Calculation'!$A$8:$A$37,'STEP 2-WQv Calculation'!$B$8:$B$37)))</f>
        <v/>
      </c>
      <c r="C156" s="167" t="str">
        <f>IF($A156="","",(LOOKUP($A156,'STEP 2-WQv Calculation'!$A$8:$A$37,'STEP 2-WQv Calculation'!$C$8:$C$37)))</f>
        <v/>
      </c>
      <c r="D156" s="168" t="str">
        <f>IF($A156="","",(LOOKUP($A156,'STEP 2-WQv Calculation'!$A$8:$A$37,'STEP 2-WQv Calculation'!$D$8:$D$37)))</f>
        <v/>
      </c>
      <c r="E156" s="167" t="str">
        <f>IF($A156="","",(LOOKUP($A156,'STEP 2-WQv Calculation'!$A$8:$A$37,'STEP 2-WQv Calculation'!$E$8:$E$37)))</f>
        <v/>
      </c>
      <c r="F156" s="169" t="str">
        <f>IF($A156="","",(LOOKUP($A156,'STEP 2-WQv Calculation'!$A$8:$A$37,'STEP 2-WQv Calculation'!$F$8:$F$37)))</f>
        <v/>
      </c>
      <c r="G156" s="170">
        <f>'STEP 2-WQv Calculation'!$B$5</f>
        <v>0</v>
      </c>
      <c r="H156" s="171" t="str">
        <f>IF($A156="","",(LOOKUP($A156,'STEP 2-WQv Calculation'!$A$8:$A$37,'STEP 2-WQv Calculation'!$G$8:$G$37)))</f>
        <v/>
      </c>
    </row>
    <row r="157" spans="1:8" ht="13" x14ac:dyDescent="0.3">
      <c r="A157" s="360" t="s">
        <v>226</v>
      </c>
      <c r="B157" s="361"/>
      <c r="C157" s="361"/>
      <c r="D157" s="361"/>
      <c r="E157" s="361"/>
      <c r="F157" s="361"/>
      <c r="G157" s="361"/>
      <c r="H157" s="362"/>
    </row>
    <row r="158" spans="1:8" x14ac:dyDescent="0.25">
      <c r="A158" s="242" t="s">
        <v>625</v>
      </c>
      <c r="B158" s="243"/>
      <c r="C158" s="244"/>
      <c r="D158" s="139"/>
      <c r="E158" s="322" t="str">
        <f>IF(D158="No","Does not meet Section 9.4.1 evaluation requirements","")</f>
        <v/>
      </c>
      <c r="F158" s="323"/>
      <c r="G158" s="323"/>
      <c r="H158" s="324"/>
    </row>
    <row r="159" spans="1:8" x14ac:dyDescent="0.25">
      <c r="A159" s="242" t="s">
        <v>626</v>
      </c>
      <c r="B159" s="243"/>
      <c r="C159" s="244"/>
      <c r="D159" s="139"/>
      <c r="E159" s="322" t="str">
        <f>IF(D159="Yes","Practice must be included on NYSDEC list for Verified Proprietary Practices for New Development","")</f>
        <v/>
      </c>
      <c r="F159" s="323"/>
      <c r="G159" s="323"/>
      <c r="H159" s="324"/>
    </row>
    <row r="160" spans="1:8" x14ac:dyDescent="0.25">
      <c r="A160" s="242" t="s">
        <v>627</v>
      </c>
      <c r="B160" s="243"/>
      <c r="C160" s="244"/>
      <c r="D160" s="139"/>
      <c r="E160" s="322" t="str">
        <f>IF(D160="","",IF(D159="No","Not applicable",IF(AND(D159="Yes",D160="No"),"Practice is not approved for new development",IF(AND(D159="Yes",D160="Yes"),""))))</f>
        <v/>
      </c>
      <c r="F160" s="323"/>
      <c r="G160" s="323"/>
      <c r="H160" s="324"/>
    </row>
    <row r="161" spans="1:8" x14ac:dyDescent="0.25">
      <c r="A161" s="242" t="s">
        <v>628</v>
      </c>
      <c r="B161" s="243"/>
      <c r="C161" s="244"/>
      <c r="D161" s="139"/>
      <c r="E161" s="322" t="str">
        <f>IF(D161="","",IF(D161="Yes","Design must include flow diversion",IF(D161="No","Practice must have adequate bypass capacity")))</f>
        <v/>
      </c>
      <c r="F161" s="323"/>
      <c r="G161" s="323"/>
      <c r="H161" s="324"/>
    </row>
    <row r="162" spans="1:8" x14ac:dyDescent="0.25">
      <c r="A162" s="242" t="s">
        <v>629</v>
      </c>
      <c r="B162" s="243"/>
      <c r="C162" s="244"/>
      <c r="D162" s="139"/>
      <c r="E162" s="322" t="str">
        <f>IF(D161="","",IF(AND(D161="No",D162=""),"Not applicable",IF(AND(D161="Yes",D162=""),"",IF(AND(D161="Yes",D162="No"),"Does not meet sizing criteria",IF(AND(D161="Yes",D162="Yes"),"")))))</f>
        <v/>
      </c>
      <c r="F162" s="323"/>
      <c r="G162" s="323"/>
      <c r="H162" s="324"/>
    </row>
    <row r="163" spans="1:8" x14ac:dyDescent="0.25">
      <c r="A163" s="242" t="s">
        <v>630</v>
      </c>
      <c r="B163" s="243"/>
      <c r="C163" s="244"/>
      <c r="D163" s="139"/>
      <c r="E163" s="322" t="str">
        <f>IF(D161="Yes","Not applicable","")</f>
        <v/>
      </c>
      <c r="F163" s="323"/>
      <c r="G163" s="323"/>
      <c r="H163" s="324"/>
    </row>
    <row r="164" spans="1:8" x14ac:dyDescent="0.25">
      <c r="A164" s="242" t="s">
        <v>631</v>
      </c>
      <c r="B164" s="243"/>
      <c r="C164" s="244"/>
      <c r="D164" s="139"/>
      <c r="E164" s="322" t="str">
        <f>IF(AND(D161="Yes",D164=""),"Not applicable",IF(F156="","",IF(D161="Yes","Not applicable",IF(D164&lt;D163,"Does not meet sizing criteria",""))))</f>
        <v/>
      </c>
      <c r="F164" s="323"/>
      <c r="G164" s="323"/>
      <c r="H164" s="324"/>
    </row>
    <row r="165" spans="1:8" x14ac:dyDescent="0.25">
      <c r="A165" s="242" t="s">
        <v>632</v>
      </c>
      <c r="B165" s="243"/>
      <c r="C165" s="244"/>
      <c r="D165" s="442"/>
      <c r="E165" s="443"/>
      <c r="F165" s="443"/>
      <c r="G165" s="443"/>
      <c r="H165" s="444"/>
    </row>
    <row r="166" spans="1:8" ht="13" x14ac:dyDescent="0.3">
      <c r="A166" s="433" t="s">
        <v>232</v>
      </c>
      <c r="B166" s="434"/>
      <c r="C166" s="434"/>
      <c r="D166" s="361"/>
      <c r="E166" s="361"/>
      <c r="F166" s="361"/>
      <c r="G166" s="361"/>
      <c r="H166" s="362"/>
    </row>
    <row r="167" spans="1:8" ht="13" x14ac:dyDescent="0.3">
      <c r="A167" s="346"/>
      <c r="B167" s="347"/>
      <c r="C167" s="348"/>
      <c r="D167" s="47" t="s">
        <v>256</v>
      </c>
      <c r="E167" s="48" t="s">
        <v>257</v>
      </c>
      <c r="F167" s="349" t="s">
        <v>258</v>
      </c>
      <c r="G167" s="350"/>
      <c r="H167" s="351"/>
    </row>
    <row r="168" spans="1:8" x14ac:dyDescent="0.25">
      <c r="A168" s="289" t="s">
        <v>327</v>
      </c>
      <c r="B168" s="289"/>
      <c r="C168" s="159" t="s">
        <v>328</v>
      </c>
      <c r="D168" s="183"/>
      <c r="E168" s="193" t="s">
        <v>329</v>
      </c>
      <c r="F168" s="345" t="s">
        <v>330</v>
      </c>
      <c r="G168" s="345"/>
      <c r="H168" s="345"/>
    </row>
    <row r="169" spans="1:8" x14ac:dyDescent="0.25">
      <c r="A169" s="289" t="s">
        <v>633</v>
      </c>
      <c r="B169" s="289"/>
      <c r="C169" s="159" t="s">
        <v>634</v>
      </c>
      <c r="D169" s="183"/>
      <c r="E169" s="193" t="s">
        <v>329</v>
      </c>
      <c r="F169" s="345" t="str">
        <f>IF(D169="","",IF(D169&lt;D168,"Does not meet sizing criteria",""))</f>
        <v/>
      </c>
      <c r="G169" s="345"/>
      <c r="H169" s="345"/>
    </row>
    <row r="170" spans="1:8" ht="13" x14ac:dyDescent="0.25">
      <c r="A170" s="390" t="s">
        <v>468</v>
      </c>
      <c r="B170" s="390"/>
      <c r="C170" s="390"/>
      <c r="D170" s="390"/>
      <c r="E170" s="390"/>
      <c r="F170" s="390"/>
      <c r="G170" s="390"/>
      <c r="H170" s="390"/>
    </row>
    <row r="171" spans="1:8" ht="13" x14ac:dyDescent="0.25">
      <c r="A171" s="398" t="s">
        <v>469</v>
      </c>
      <c r="B171" s="399"/>
      <c r="C171" s="400"/>
      <c r="D171" s="181" t="str">
        <f>IF(A156="","",IF(D158="No",0,IF(AND(D159="Yes",D160="No"),0,IF(AND(D161="Yes",D162="No"),0,IF(AND(D161="No",D164&lt;D163),0,IF(D169&lt;D168,0,F156))))))</f>
        <v/>
      </c>
      <c r="E171" s="182" t="s">
        <v>2</v>
      </c>
      <c r="F171" s="440"/>
      <c r="G171" s="441"/>
      <c r="H171" s="441"/>
    </row>
    <row r="172" spans="1:8" ht="13" x14ac:dyDescent="0.25">
      <c r="A172" s="161" t="s">
        <v>56</v>
      </c>
      <c r="B172" s="162" t="str">
        <f>IF('STEP 2-WQv Calculation'!$B$4="","",'STEP 2-WQv Calculation'!$B$4)</f>
        <v/>
      </c>
      <c r="C172" s="163"/>
      <c r="D172" s="163"/>
      <c r="E172" s="163"/>
      <c r="F172" s="163"/>
      <c r="G172" s="163"/>
      <c r="H172" s="163"/>
    </row>
    <row r="173" spans="1:8" ht="13" x14ac:dyDescent="0.3">
      <c r="A173" s="360" t="s">
        <v>293</v>
      </c>
      <c r="B173" s="361"/>
      <c r="C173" s="361"/>
      <c r="D173" s="361"/>
      <c r="E173" s="361"/>
      <c r="F173" s="361"/>
      <c r="G173" s="361"/>
      <c r="H173" s="362"/>
    </row>
    <row r="174" spans="1:8" ht="38.5" x14ac:dyDescent="0.25">
      <c r="A174" s="164" t="s">
        <v>60</v>
      </c>
      <c r="B174" s="165" t="s">
        <v>600</v>
      </c>
      <c r="C174" s="165" t="s">
        <v>601</v>
      </c>
      <c r="D174" s="165" t="s">
        <v>602</v>
      </c>
      <c r="E174" s="165" t="s">
        <v>64</v>
      </c>
      <c r="F174" s="165" t="s">
        <v>603</v>
      </c>
      <c r="G174" s="165" t="s">
        <v>604</v>
      </c>
      <c r="H174" s="166" t="s">
        <v>13</v>
      </c>
    </row>
    <row r="175" spans="1:8" x14ac:dyDescent="0.25">
      <c r="A175" s="178"/>
      <c r="B175" s="167" t="str">
        <f>IF($A175="","",(LOOKUP($A175,'STEP 2-WQv Calculation'!$A$8:$A$37,'STEP 2-WQv Calculation'!$B$8:$B$37)))</f>
        <v/>
      </c>
      <c r="C175" s="167" t="str">
        <f>IF($A175="","",(LOOKUP($A175,'STEP 2-WQv Calculation'!$A$8:$A$37,'STEP 2-WQv Calculation'!$C$8:$C$37)))</f>
        <v/>
      </c>
      <c r="D175" s="168" t="str">
        <f>IF($A175="","",(LOOKUP($A175,'STEP 2-WQv Calculation'!$A$8:$A$37,'STEP 2-WQv Calculation'!$D$8:$D$37)))</f>
        <v/>
      </c>
      <c r="E175" s="167" t="str">
        <f>IF($A175="","",(LOOKUP($A175,'STEP 2-WQv Calculation'!$A$8:$A$37,'STEP 2-WQv Calculation'!$E$8:$E$37)))</f>
        <v/>
      </c>
      <c r="F175" s="169" t="str">
        <f>IF($A175="","",(LOOKUP($A175,'STEP 2-WQv Calculation'!$A$8:$A$37,'STEP 2-WQv Calculation'!$F$8:$F$37)))</f>
        <v/>
      </c>
      <c r="G175" s="170">
        <f>'STEP 2-WQv Calculation'!$B$5</f>
        <v>0</v>
      </c>
      <c r="H175" s="171" t="str">
        <f>IF($A175="","",(LOOKUP($A175,'STEP 2-WQv Calculation'!$A$8:$A$37,'STEP 2-WQv Calculation'!$G$8:$G$37)))</f>
        <v/>
      </c>
    </row>
    <row r="176" spans="1:8" ht="13" x14ac:dyDescent="0.3">
      <c r="A176" s="360" t="s">
        <v>226</v>
      </c>
      <c r="B176" s="361"/>
      <c r="C176" s="361"/>
      <c r="D176" s="361"/>
      <c r="E176" s="361"/>
      <c r="F176" s="361"/>
      <c r="G176" s="361"/>
      <c r="H176" s="362"/>
    </row>
    <row r="177" spans="1:8" x14ac:dyDescent="0.25">
      <c r="A177" s="242" t="s">
        <v>625</v>
      </c>
      <c r="B177" s="243"/>
      <c r="C177" s="244"/>
      <c r="D177" s="139"/>
      <c r="E177" s="322" t="str">
        <f>IF(D177="No","Does not meet Section 9.4.1 evaluation requirements","")</f>
        <v/>
      </c>
      <c r="F177" s="323"/>
      <c r="G177" s="323"/>
      <c r="H177" s="324"/>
    </row>
    <row r="178" spans="1:8" x14ac:dyDescent="0.25">
      <c r="A178" s="242" t="s">
        <v>626</v>
      </c>
      <c r="B178" s="243"/>
      <c r="C178" s="244"/>
      <c r="D178" s="139"/>
      <c r="E178" s="322" t="str">
        <f>IF(D178="Yes","Practice must be included on NYSDEC list for Verified Proprietary Practices for New Development","")</f>
        <v/>
      </c>
      <c r="F178" s="323"/>
      <c r="G178" s="323"/>
      <c r="H178" s="324"/>
    </row>
    <row r="179" spans="1:8" x14ac:dyDescent="0.25">
      <c r="A179" s="242" t="s">
        <v>627</v>
      </c>
      <c r="B179" s="243"/>
      <c r="C179" s="244"/>
      <c r="D179" s="139"/>
      <c r="E179" s="322" t="str">
        <f>IF(D179="","",IF(D178="No","Not applicable",IF(AND(D178="Yes",D179="No"),"Practice is not approved for new development",IF(AND(D178="Yes",D179="Yes"),""))))</f>
        <v/>
      </c>
      <c r="F179" s="323"/>
      <c r="G179" s="323"/>
      <c r="H179" s="324"/>
    </row>
    <row r="180" spans="1:8" x14ac:dyDescent="0.25">
      <c r="A180" s="242" t="s">
        <v>628</v>
      </c>
      <c r="B180" s="243"/>
      <c r="C180" s="244"/>
      <c r="D180" s="139"/>
      <c r="E180" s="322" t="str">
        <f>IF(D180="","",IF(D180="Yes","Design must include flow diversion",IF(D180="No","Practice must have adequate bypass capacity")))</f>
        <v/>
      </c>
      <c r="F180" s="323"/>
      <c r="G180" s="323"/>
      <c r="H180" s="324"/>
    </row>
    <row r="181" spans="1:8" x14ac:dyDescent="0.25">
      <c r="A181" s="242" t="s">
        <v>629</v>
      </c>
      <c r="B181" s="243"/>
      <c r="C181" s="244"/>
      <c r="D181" s="139"/>
      <c r="E181" s="322" t="str">
        <f>IF(D180="","",IF(AND(D180="No",D181=""),"Not applicable",IF(AND(D180="Yes",D181=""),"",IF(AND(D180="Yes",D181="No"),"Does not meet sizing criteria",IF(AND(D180="Yes",D181="Yes"),"")))))</f>
        <v/>
      </c>
      <c r="F181" s="323"/>
      <c r="G181" s="323"/>
      <c r="H181" s="324"/>
    </row>
    <row r="182" spans="1:8" x14ac:dyDescent="0.25">
      <c r="A182" s="242" t="s">
        <v>630</v>
      </c>
      <c r="B182" s="243"/>
      <c r="C182" s="244"/>
      <c r="D182" s="139"/>
      <c r="E182" s="322" t="str">
        <f>IF(D180="Yes","Not applicable","")</f>
        <v/>
      </c>
      <c r="F182" s="323"/>
      <c r="G182" s="323"/>
      <c r="H182" s="324"/>
    </row>
    <row r="183" spans="1:8" x14ac:dyDescent="0.25">
      <c r="A183" s="242" t="s">
        <v>631</v>
      </c>
      <c r="B183" s="243"/>
      <c r="C183" s="244"/>
      <c r="D183" s="139"/>
      <c r="E183" s="322" t="str">
        <f>IF(AND(D180="Yes",D183=""),"Not applicable",IF(F175="","",IF(D180="Yes","Not applicable",IF(D183&lt;D182,"Does not meet sizing criteria",""))))</f>
        <v/>
      </c>
      <c r="F183" s="323"/>
      <c r="G183" s="323"/>
      <c r="H183" s="324"/>
    </row>
    <row r="184" spans="1:8" x14ac:dyDescent="0.25">
      <c r="A184" s="242" t="s">
        <v>632</v>
      </c>
      <c r="B184" s="243"/>
      <c r="C184" s="244"/>
      <c r="D184" s="442"/>
      <c r="E184" s="443"/>
      <c r="F184" s="443"/>
      <c r="G184" s="443"/>
      <c r="H184" s="444"/>
    </row>
    <row r="185" spans="1:8" ht="13" x14ac:dyDescent="0.3">
      <c r="A185" s="433" t="s">
        <v>232</v>
      </c>
      <c r="B185" s="434"/>
      <c r="C185" s="434"/>
      <c r="D185" s="361"/>
      <c r="E185" s="361"/>
      <c r="F185" s="361"/>
      <c r="G185" s="361"/>
      <c r="H185" s="362"/>
    </row>
    <row r="186" spans="1:8" ht="13" x14ac:dyDescent="0.3">
      <c r="A186" s="346"/>
      <c r="B186" s="347"/>
      <c r="C186" s="348"/>
      <c r="D186" s="47" t="s">
        <v>256</v>
      </c>
      <c r="E186" s="48" t="s">
        <v>257</v>
      </c>
      <c r="F186" s="349" t="s">
        <v>258</v>
      </c>
      <c r="G186" s="350"/>
      <c r="H186" s="351"/>
    </row>
    <row r="187" spans="1:8" x14ac:dyDescent="0.25">
      <c r="A187" s="289" t="s">
        <v>327</v>
      </c>
      <c r="B187" s="289"/>
      <c r="C187" s="159" t="s">
        <v>328</v>
      </c>
      <c r="D187" s="183"/>
      <c r="E187" s="193" t="s">
        <v>329</v>
      </c>
      <c r="F187" s="345" t="s">
        <v>330</v>
      </c>
      <c r="G187" s="345"/>
      <c r="H187" s="345"/>
    </row>
    <row r="188" spans="1:8" x14ac:dyDescent="0.25">
      <c r="A188" s="289" t="s">
        <v>633</v>
      </c>
      <c r="B188" s="289"/>
      <c r="C188" s="159" t="s">
        <v>634</v>
      </c>
      <c r="D188" s="183"/>
      <c r="E188" s="193" t="s">
        <v>329</v>
      </c>
      <c r="F188" s="345" t="str">
        <f>IF(D188="","",IF(D188&lt;D187,"Does not meet sizing criteria",""))</f>
        <v/>
      </c>
      <c r="G188" s="345"/>
      <c r="H188" s="345"/>
    </row>
    <row r="189" spans="1:8" ht="13" x14ac:dyDescent="0.25">
      <c r="A189" s="390" t="s">
        <v>468</v>
      </c>
      <c r="B189" s="390"/>
      <c r="C189" s="390"/>
      <c r="D189" s="390"/>
      <c r="E189" s="390"/>
      <c r="F189" s="390"/>
      <c r="G189" s="390"/>
      <c r="H189" s="390"/>
    </row>
    <row r="190" spans="1:8" ht="13" x14ac:dyDescent="0.25">
      <c r="A190" s="398" t="s">
        <v>469</v>
      </c>
      <c r="B190" s="399"/>
      <c r="C190" s="400"/>
      <c r="D190" s="181" t="str">
        <f>IF(A175="","",IF(D177="No",0,IF(AND(D178="Yes",D179="No"),0,IF(AND(D180="Yes",D181="No"),0,IF(AND(D180="No",D183&lt;D182),0,IF(D188&lt;D187,0,F175))))))</f>
        <v/>
      </c>
      <c r="E190" s="182" t="s">
        <v>2</v>
      </c>
      <c r="F190" s="440"/>
      <c r="G190" s="441"/>
      <c r="H190" s="441"/>
    </row>
  </sheetData>
  <sheetProtection algorithmName="SHA-512" hashValue="7A8jnEti3MDC7g8T7t4aIdYRrmvrgJnEP9blOdDvLvFMSaadMBAEzoSsxgypCXbMGuFq63D/zZQwbZPgcqId6A==" saltValue="wuWZJIH9Jw/wpH7iLJ77bg==" spinCount="100000" sheet="1" formatColumns="0" formatRows="0"/>
  <mergeCells count="284">
    <mergeCell ref="A186:C186"/>
    <mergeCell ref="F186:H186"/>
    <mergeCell ref="A187:B187"/>
    <mergeCell ref="F187:H187"/>
    <mergeCell ref="A188:B188"/>
    <mergeCell ref="F188:H188"/>
    <mergeCell ref="A189:H189"/>
    <mergeCell ref="A190:C190"/>
    <mergeCell ref="F190:H190"/>
    <mergeCell ref="A181:C181"/>
    <mergeCell ref="E181:H181"/>
    <mergeCell ref="A182:C182"/>
    <mergeCell ref="E182:H182"/>
    <mergeCell ref="A183:C183"/>
    <mergeCell ref="E183:H183"/>
    <mergeCell ref="A184:C184"/>
    <mergeCell ref="D184:H184"/>
    <mergeCell ref="A185:H185"/>
    <mergeCell ref="A173:H173"/>
    <mergeCell ref="A176:H176"/>
    <mergeCell ref="A177:C177"/>
    <mergeCell ref="E177:H177"/>
    <mergeCell ref="A178:C178"/>
    <mergeCell ref="E178:H178"/>
    <mergeCell ref="A179:C179"/>
    <mergeCell ref="E179:H179"/>
    <mergeCell ref="A180:C180"/>
    <mergeCell ref="E180:H180"/>
    <mergeCell ref="A167:C167"/>
    <mergeCell ref="F167:H167"/>
    <mergeCell ref="A168:B168"/>
    <mergeCell ref="F168:H168"/>
    <mergeCell ref="A169:B169"/>
    <mergeCell ref="F169:H169"/>
    <mergeCell ref="A170:H170"/>
    <mergeCell ref="A171:C171"/>
    <mergeCell ref="F171:H171"/>
    <mergeCell ref="A162:C162"/>
    <mergeCell ref="E162:H162"/>
    <mergeCell ref="A163:C163"/>
    <mergeCell ref="E163:H163"/>
    <mergeCell ref="A164:C164"/>
    <mergeCell ref="E164:H164"/>
    <mergeCell ref="A165:C165"/>
    <mergeCell ref="D165:H165"/>
    <mergeCell ref="A166:H166"/>
    <mergeCell ref="A154:H154"/>
    <mergeCell ref="A157:H157"/>
    <mergeCell ref="A158:C158"/>
    <mergeCell ref="E158:H158"/>
    <mergeCell ref="A159:C159"/>
    <mergeCell ref="E159:H159"/>
    <mergeCell ref="A160:C160"/>
    <mergeCell ref="E160:H160"/>
    <mergeCell ref="A161:C161"/>
    <mergeCell ref="E161:H161"/>
    <mergeCell ref="A148:C148"/>
    <mergeCell ref="F148:H148"/>
    <mergeCell ref="A149:B149"/>
    <mergeCell ref="F149:H149"/>
    <mergeCell ref="A150:B150"/>
    <mergeCell ref="F150:H150"/>
    <mergeCell ref="A151:H151"/>
    <mergeCell ref="A152:C152"/>
    <mergeCell ref="F152:H152"/>
    <mergeCell ref="A143:C143"/>
    <mergeCell ref="E143:H143"/>
    <mergeCell ref="A144:C144"/>
    <mergeCell ref="E144:H144"/>
    <mergeCell ref="A145:C145"/>
    <mergeCell ref="E145:H145"/>
    <mergeCell ref="A146:C146"/>
    <mergeCell ref="D146:H146"/>
    <mergeCell ref="A147:H147"/>
    <mergeCell ref="A135:H135"/>
    <mergeCell ref="A138:H138"/>
    <mergeCell ref="A139:C139"/>
    <mergeCell ref="E139:H139"/>
    <mergeCell ref="A140:C140"/>
    <mergeCell ref="E140:H140"/>
    <mergeCell ref="A141:C141"/>
    <mergeCell ref="E141:H141"/>
    <mergeCell ref="A142:C142"/>
    <mergeCell ref="E142:H142"/>
    <mergeCell ref="A129:C129"/>
    <mergeCell ref="F129:H129"/>
    <mergeCell ref="A130:B130"/>
    <mergeCell ref="F130:H130"/>
    <mergeCell ref="A131:B131"/>
    <mergeCell ref="F131:H131"/>
    <mergeCell ref="A132:H132"/>
    <mergeCell ref="A133:C133"/>
    <mergeCell ref="F133:H133"/>
    <mergeCell ref="A124:C124"/>
    <mergeCell ref="E124:H124"/>
    <mergeCell ref="A125:C125"/>
    <mergeCell ref="E125:H125"/>
    <mergeCell ref="A126:C126"/>
    <mergeCell ref="E126:H126"/>
    <mergeCell ref="A127:C127"/>
    <mergeCell ref="D127:H127"/>
    <mergeCell ref="A128:H128"/>
    <mergeCell ref="A116:H116"/>
    <mergeCell ref="A119:H119"/>
    <mergeCell ref="A120:C120"/>
    <mergeCell ref="E120:H120"/>
    <mergeCell ref="A121:C121"/>
    <mergeCell ref="E121:H121"/>
    <mergeCell ref="A122:C122"/>
    <mergeCell ref="E122:H122"/>
    <mergeCell ref="A123:C123"/>
    <mergeCell ref="E123:H123"/>
    <mergeCell ref="A110:C110"/>
    <mergeCell ref="F110:H110"/>
    <mergeCell ref="A111:B111"/>
    <mergeCell ref="F111:H111"/>
    <mergeCell ref="A112:B112"/>
    <mergeCell ref="F112:H112"/>
    <mergeCell ref="A113:H113"/>
    <mergeCell ref="A114:C114"/>
    <mergeCell ref="F114:H114"/>
    <mergeCell ref="A105:C105"/>
    <mergeCell ref="E105:H105"/>
    <mergeCell ref="A106:C106"/>
    <mergeCell ref="E106:H106"/>
    <mergeCell ref="A107:C107"/>
    <mergeCell ref="E107:H107"/>
    <mergeCell ref="A108:C108"/>
    <mergeCell ref="D108:H108"/>
    <mergeCell ref="A109:H109"/>
    <mergeCell ref="A97:H97"/>
    <mergeCell ref="A100:H100"/>
    <mergeCell ref="A101:C101"/>
    <mergeCell ref="E101:H101"/>
    <mergeCell ref="A102:C102"/>
    <mergeCell ref="E102:H102"/>
    <mergeCell ref="A103:C103"/>
    <mergeCell ref="E103:H103"/>
    <mergeCell ref="A104:C104"/>
    <mergeCell ref="E104:H104"/>
    <mergeCell ref="A18:H18"/>
    <mergeCell ref="A19:C19"/>
    <mergeCell ref="F19:H19"/>
    <mergeCell ref="A17:B17"/>
    <mergeCell ref="F17:H17"/>
    <mergeCell ref="A2:H2"/>
    <mergeCell ref="I2:J2"/>
    <mergeCell ref="I3:J3"/>
    <mergeCell ref="I4:J4"/>
    <mergeCell ref="A5:H5"/>
    <mergeCell ref="I5:J5"/>
    <mergeCell ref="A14:H14"/>
    <mergeCell ref="A15:C15"/>
    <mergeCell ref="F15:H15"/>
    <mergeCell ref="A21:H21"/>
    <mergeCell ref="A24:H24"/>
    <mergeCell ref="A25:C25"/>
    <mergeCell ref="E25:H25"/>
    <mergeCell ref="A26:C26"/>
    <mergeCell ref="E26:H26"/>
    <mergeCell ref="A6:C6"/>
    <mergeCell ref="E6:H6"/>
    <mergeCell ref="D13:H13"/>
    <mergeCell ref="A12:C12"/>
    <mergeCell ref="A7:C7"/>
    <mergeCell ref="E7:H7"/>
    <mergeCell ref="A8:C8"/>
    <mergeCell ref="E8:H8"/>
    <mergeCell ref="A13:C13"/>
    <mergeCell ref="E12:H12"/>
    <mergeCell ref="A9:C9"/>
    <mergeCell ref="E9:H9"/>
    <mergeCell ref="A10:C10"/>
    <mergeCell ref="E10:H10"/>
    <mergeCell ref="A11:C11"/>
    <mergeCell ref="E11:H11"/>
    <mergeCell ref="A16:B16"/>
    <mergeCell ref="F16:H16"/>
    <mergeCell ref="A30:C30"/>
    <mergeCell ref="E30:H30"/>
    <mergeCell ref="A31:C31"/>
    <mergeCell ref="E31:H31"/>
    <mergeCell ref="A32:C32"/>
    <mergeCell ref="D32:H32"/>
    <mergeCell ref="A27:C27"/>
    <mergeCell ref="E27:H27"/>
    <mergeCell ref="A28:C28"/>
    <mergeCell ref="E28:H28"/>
    <mergeCell ref="A29:C29"/>
    <mergeCell ref="E29:H29"/>
    <mergeCell ref="A36:B36"/>
    <mergeCell ref="F36:H36"/>
    <mergeCell ref="F38:H38"/>
    <mergeCell ref="A33:H33"/>
    <mergeCell ref="A34:C34"/>
    <mergeCell ref="F34:H34"/>
    <mergeCell ref="A35:B35"/>
    <mergeCell ref="F35:H35"/>
    <mergeCell ref="A37:H37"/>
    <mergeCell ref="A38:C38"/>
    <mergeCell ref="A45:C45"/>
    <mergeCell ref="E45:H45"/>
    <mergeCell ref="A46:C46"/>
    <mergeCell ref="E46:H46"/>
    <mergeCell ref="A47:C47"/>
    <mergeCell ref="E47:H47"/>
    <mergeCell ref="A40:H40"/>
    <mergeCell ref="A43:H43"/>
    <mergeCell ref="A44:C44"/>
    <mergeCell ref="E44:H44"/>
    <mergeCell ref="A51:C51"/>
    <mergeCell ref="D51:H51"/>
    <mergeCell ref="A52:H52"/>
    <mergeCell ref="A53:C53"/>
    <mergeCell ref="F53:H53"/>
    <mergeCell ref="A48:C48"/>
    <mergeCell ref="E48:H48"/>
    <mergeCell ref="A49:C49"/>
    <mergeCell ref="E49:H49"/>
    <mergeCell ref="A50:C50"/>
    <mergeCell ref="E50:H50"/>
    <mergeCell ref="A59:H59"/>
    <mergeCell ref="A62:H62"/>
    <mergeCell ref="F57:H57"/>
    <mergeCell ref="A54:B54"/>
    <mergeCell ref="F54:H54"/>
    <mergeCell ref="A55:B55"/>
    <mergeCell ref="F55:H55"/>
    <mergeCell ref="A56:H56"/>
    <mergeCell ref="A57:C57"/>
    <mergeCell ref="A66:C66"/>
    <mergeCell ref="E66:H66"/>
    <mergeCell ref="A67:C67"/>
    <mergeCell ref="E67:H67"/>
    <mergeCell ref="A68:C68"/>
    <mergeCell ref="E68:H68"/>
    <mergeCell ref="A63:C63"/>
    <mergeCell ref="E63:H63"/>
    <mergeCell ref="A64:C64"/>
    <mergeCell ref="E64:H64"/>
    <mergeCell ref="A65:C65"/>
    <mergeCell ref="E65:H65"/>
    <mergeCell ref="A72:C72"/>
    <mergeCell ref="F72:H72"/>
    <mergeCell ref="A73:B73"/>
    <mergeCell ref="F73:H73"/>
    <mergeCell ref="A74:B74"/>
    <mergeCell ref="F74:H74"/>
    <mergeCell ref="A69:C69"/>
    <mergeCell ref="E69:H69"/>
    <mergeCell ref="A70:C70"/>
    <mergeCell ref="D70:H70"/>
    <mergeCell ref="A71:H71"/>
    <mergeCell ref="A78:H78"/>
    <mergeCell ref="A81:H81"/>
    <mergeCell ref="A82:C82"/>
    <mergeCell ref="E82:H82"/>
    <mergeCell ref="A83:C83"/>
    <mergeCell ref="E83:H83"/>
    <mergeCell ref="F76:H76"/>
    <mergeCell ref="A75:H75"/>
    <mergeCell ref="A76:C76"/>
    <mergeCell ref="A87:C87"/>
    <mergeCell ref="E87:H87"/>
    <mergeCell ref="A88:C88"/>
    <mergeCell ref="E88:H88"/>
    <mergeCell ref="A89:C89"/>
    <mergeCell ref="D89:H89"/>
    <mergeCell ref="A84:C84"/>
    <mergeCell ref="E84:H84"/>
    <mergeCell ref="A85:C85"/>
    <mergeCell ref="E85:H85"/>
    <mergeCell ref="A86:C86"/>
    <mergeCell ref="E86:H86"/>
    <mergeCell ref="A93:B93"/>
    <mergeCell ref="F93:H93"/>
    <mergeCell ref="F95:H95"/>
    <mergeCell ref="A90:H90"/>
    <mergeCell ref="A91:C91"/>
    <mergeCell ref="F91:H91"/>
    <mergeCell ref="A92:B92"/>
    <mergeCell ref="F92:H92"/>
    <mergeCell ref="A94:H94"/>
    <mergeCell ref="A95:C95"/>
  </mergeCells>
  <dataValidations count="3">
    <dataValidation type="list" showInputMessage="1" showErrorMessage="1" promptTitle="Yes or No?" sqref="D6:D10 D63:D67 D25:D29 D44:D48 D82:D86 D101:D105 D120:D124 D139:D143 D158:D162 D177:D181" xr:uid="{ED309D14-093E-4DB8-88F0-465CA5E03346}">
      <formula1>YesNo</formula1>
    </dataValidation>
    <dataValidation type="list" allowBlank="1" showInputMessage="1" showErrorMessage="1" prompt="Choose Area" sqref="A4 A61 A23 A42 A80 A99 A118 A137 A156 A175" xr:uid="{90E443BF-A4FC-4F8E-888D-B3BEA0CCA563}">
      <formula1>CatchNo</formula1>
    </dataValidation>
    <dataValidation type="decimal" operator="greaterThan" allowBlank="1" showInputMessage="1" showErrorMessage="1" sqref="D11:D12 D16:D17 D30:D31 D35:D36 D49:D50 D54:D55 D68:D69 D73:D74 D87:D88 D92:D93 D106:D107 D111:D112 D125:D126 D130:D131 D144:D145 D149:D150 D163:D164 D168:D169 D182:D183 D187:D188" xr:uid="{6555E7B9-D722-4BB5-AAE5-94979FBC930C}">
      <formula1>0</formula1>
    </dataValidation>
  </dataValidations>
  <pageMargins left="0.5" right="0.5" top="0.75" bottom="0.5" header="0.3" footer="0.3"/>
  <pageSetup paperSize="278" orientation="portrait" r:id="rId1"/>
  <headerFooter>
    <oddHeader>&amp;C&amp;"Arial,Regular"&amp;18Flow Based Alternative Practice</oddHeader>
  </headerFooter>
  <rowBreaks count="10" manualBreakCount="10">
    <brk id="19" max="16383" man="1"/>
    <brk id="38" max="16383" man="1"/>
    <brk id="57" max="16383" man="1"/>
    <brk id="76" max="16383" man="1"/>
    <brk id="95" max="16383" man="1"/>
    <brk id="114" max="16383" man="1"/>
    <brk id="133" max="16383" man="1"/>
    <brk id="152" max="16383" man="1"/>
    <brk id="171" max="16383" man="1"/>
    <brk id="19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903F2-3DB0-4A5A-A68B-1AACD801415B}">
  <dimension ref="A1:H30"/>
  <sheetViews>
    <sheetView view="pageLayout" zoomScaleNormal="100" zoomScaleSheetLayoutView="85" workbookViewId="0">
      <selection activeCell="D3" sqref="D3"/>
    </sheetView>
  </sheetViews>
  <sheetFormatPr defaultColWidth="9.1796875" defaultRowHeight="12.5" x14ac:dyDescent="0.25"/>
  <cols>
    <col min="1" max="1" width="12.7265625" style="4" customWidth="1"/>
    <col min="2" max="2" width="20.81640625" style="4" customWidth="1"/>
    <col min="3" max="4" width="10.7265625" style="4" customWidth="1"/>
    <col min="5" max="5" width="9.1796875" style="4" customWidth="1"/>
    <col min="6" max="6" width="8.54296875" style="4" customWidth="1"/>
    <col min="7" max="7" width="12.1796875" style="4" customWidth="1"/>
    <col min="8" max="8" width="10.54296875" style="4" customWidth="1"/>
    <col min="9" max="9" width="8.453125" style="4" customWidth="1"/>
    <col min="10" max="10" width="12.7265625" style="4" customWidth="1"/>
    <col min="11" max="13" width="9.1796875" style="4" customWidth="1"/>
    <col min="14" max="16384" width="9.1796875" style="4"/>
  </cols>
  <sheetData>
    <row r="1" spans="1:8" ht="30.25" customHeight="1" x14ac:dyDescent="0.3">
      <c r="A1" s="433" t="s">
        <v>635</v>
      </c>
      <c r="B1" s="434"/>
      <c r="C1" s="434"/>
      <c r="D1" s="361"/>
      <c r="E1" s="361"/>
      <c r="F1" s="361"/>
      <c r="G1" s="361"/>
      <c r="H1" s="362"/>
    </row>
    <row r="2" spans="1:8" ht="15" customHeight="1" x14ac:dyDescent="0.3">
      <c r="A2" s="346"/>
      <c r="B2" s="347"/>
      <c r="C2" s="348"/>
      <c r="D2" s="47" t="s">
        <v>256</v>
      </c>
      <c r="E2" s="48" t="s">
        <v>257</v>
      </c>
      <c r="F2" s="349" t="s">
        <v>258</v>
      </c>
      <c r="G2" s="350"/>
      <c r="H2" s="351"/>
    </row>
    <row r="3" spans="1:8" x14ac:dyDescent="0.25">
      <c r="A3" s="289" t="s">
        <v>636</v>
      </c>
      <c r="B3" s="289"/>
      <c r="C3" s="159" t="s">
        <v>303</v>
      </c>
      <c r="D3" s="183"/>
      <c r="E3" s="193" t="s">
        <v>3</v>
      </c>
      <c r="F3" s="345"/>
      <c r="G3" s="345"/>
      <c r="H3" s="345"/>
    </row>
    <row r="4" spans="1:8" ht="30.25" customHeight="1" x14ac:dyDescent="0.3">
      <c r="A4" s="433" t="s">
        <v>637</v>
      </c>
      <c r="B4" s="434"/>
      <c r="C4" s="434"/>
      <c r="D4" s="361"/>
      <c r="E4" s="361"/>
      <c r="F4" s="361"/>
      <c r="G4" s="361"/>
      <c r="H4" s="362"/>
    </row>
    <row r="5" spans="1:8" ht="15" customHeight="1" x14ac:dyDescent="0.3">
      <c r="A5" s="346"/>
      <c r="B5" s="347"/>
      <c r="C5" s="348"/>
      <c r="D5" s="47" t="s">
        <v>256</v>
      </c>
      <c r="E5" s="48" t="s">
        <v>257</v>
      </c>
      <c r="F5" s="349" t="s">
        <v>258</v>
      </c>
      <c r="G5" s="350"/>
      <c r="H5" s="351"/>
    </row>
    <row r="6" spans="1:8" x14ac:dyDescent="0.25">
      <c r="A6" s="289" t="s">
        <v>638</v>
      </c>
      <c r="B6" s="289"/>
      <c r="C6" s="159" t="s">
        <v>639</v>
      </c>
      <c r="D6" s="183"/>
      <c r="E6" s="193" t="s">
        <v>223</v>
      </c>
      <c r="F6" s="345"/>
      <c r="G6" s="345"/>
      <c r="H6" s="345"/>
    </row>
    <row r="7" spans="1:8" x14ac:dyDescent="0.25">
      <c r="A7" s="289" t="s">
        <v>640</v>
      </c>
      <c r="B7" s="289"/>
      <c r="C7" s="159" t="s">
        <v>641</v>
      </c>
      <c r="D7" s="183"/>
      <c r="E7" s="193"/>
      <c r="F7" s="345"/>
      <c r="G7" s="345"/>
      <c r="H7" s="345"/>
    </row>
    <row r="8" spans="1:8" ht="12.75" customHeight="1" x14ac:dyDescent="0.25">
      <c r="A8" s="289" t="s">
        <v>642</v>
      </c>
      <c r="B8" s="289"/>
      <c r="C8" s="159" t="s">
        <v>617</v>
      </c>
      <c r="D8" s="183"/>
      <c r="E8" s="193" t="s">
        <v>223</v>
      </c>
      <c r="F8" s="345"/>
      <c r="G8" s="345"/>
      <c r="H8" s="345"/>
    </row>
    <row r="9" spans="1:8" ht="12.75" customHeight="1" x14ac:dyDescent="0.25">
      <c r="A9" s="289" t="s">
        <v>643</v>
      </c>
      <c r="B9" s="289"/>
      <c r="C9" s="159" t="s">
        <v>644</v>
      </c>
      <c r="D9" s="183"/>
      <c r="E9" s="193"/>
      <c r="F9" s="345"/>
      <c r="G9" s="345"/>
      <c r="H9" s="345"/>
    </row>
    <row r="10" spans="1:8" ht="12.75" customHeight="1" x14ac:dyDescent="0.25">
      <c r="A10" s="289" t="s">
        <v>645</v>
      </c>
      <c r="B10" s="289"/>
      <c r="C10" s="159" t="s">
        <v>646</v>
      </c>
      <c r="D10" s="183"/>
      <c r="E10" s="193" t="s">
        <v>223</v>
      </c>
      <c r="F10" s="345"/>
      <c r="G10" s="345"/>
      <c r="H10" s="345"/>
    </row>
    <row r="11" spans="1:8" ht="12.75" customHeight="1" x14ac:dyDescent="0.25">
      <c r="A11" s="289" t="s">
        <v>647</v>
      </c>
      <c r="B11" s="289"/>
      <c r="C11" s="159" t="s">
        <v>648</v>
      </c>
      <c r="D11" s="183"/>
      <c r="E11" s="193"/>
      <c r="F11" s="345"/>
      <c r="G11" s="345"/>
      <c r="H11" s="345"/>
    </row>
    <row r="12" spans="1:8" ht="12.75" customHeight="1" x14ac:dyDescent="0.25">
      <c r="A12" s="289" t="s">
        <v>649</v>
      </c>
      <c r="B12" s="289"/>
      <c r="C12" s="159" t="s">
        <v>650</v>
      </c>
      <c r="D12" s="183"/>
      <c r="E12" s="193" t="s">
        <v>223</v>
      </c>
      <c r="F12" s="345"/>
      <c r="G12" s="345"/>
      <c r="H12" s="345"/>
    </row>
    <row r="13" spans="1:8" ht="12.75" customHeight="1" x14ac:dyDescent="0.25">
      <c r="A13" s="289" t="s">
        <v>651</v>
      </c>
      <c r="B13" s="289"/>
      <c r="C13" s="159" t="s">
        <v>652</v>
      </c>
      <c r="D13" s="183"/>
      <c r="E13" s="193"/>
      <c r="F13" s="345"/>
      <c r="G13" s="345"/>
      <c r="H13" s="345"/>
    </row>
    <row r="14" spans="1:8" ht="12.75" customHeight="1" x14ac:dyDescent="0.25">
      <c r="A14" s="289" t="s">
        <v>653</v>
      </c>
      <c r="B14" s="289"/>
      <c r="C14" s="159" t="s">
        <v>654</v>
      </c>
      <c r="D14" s="183"/>
      <c r="E14" s="193" t="s">
        <v>223</v>
      </c>
      <c r="F14" s="345"/>
      <c r="G14" s="345"/>
      <c r="H14" s="345"/>
    </row>
    <row r="15" spans="1:8" ht="12.75" customHeight="1" x14ac:dyDescent="0.25">
      <c r="A15" s="289" t="s">
        <v>655</v>
      </c>
      <c r="B15" s="289"/>
      <c r="C15" s="159" t="s">
        <v>656</v>
      </c>
      <c r="D15" s="183"/>
      <c r="E15" s="193"/>
      <c r="F15" s="345"/>
      <c r="G15" s="345"/>
      <c r="H15" s="345"/>
    </row>
    <row r="16" spans="1:8" ht="12.75" customHeight="1" x14ac:dyDescent="0.25">
      <c r="A16" s="289" t="s">
        <v>657</v>
      </c>
      <c r="B16" s="289"/>
      <c r="C16" s="159" t="s">
        <v>658</v>
      </c>
      <c r="D16" s="183"/>
      <c r="E16" s="193" t="s">
        <v>223</v>
      </c>
      <c r="F16" s="345"/>
      <c r="G16" s="345"/>
      <c r="H16" s="345"/>
    </row>
    <row r="17" spans="1:8" ht="12.75" customHeight="1" x14ac:dyDescent="0.25">
      <c r="A17" s="289" t="s">
        <v>659</v>
      </c>
      <c r="B17" s="289"/>
      <c r="C17" s="159" t="s">
        <v>660</v>
      </c>
      <c r="D17" s="183"/>
      <c r="E17" s="193"/>
      <c r="F17" s="345"/>
      <c r="G17" s="345"/>
      <c r="H17" s="345"/>
    </row>
    <row r="18" spans="1:8" ht="12.75" customHeight="1" x14ac:dyDescent="0.25">
      <c r="A18" s="289" t="s">
        <v>661</v>
      </c>
      <c r="B18" s="289"/>
      <c r="C18" s="159" t="s">
        <v>662</v>
      </c>
      <c r="D18" s="183"/>
      <c r="E18" s="193" t="s">
        <v>223</v>
      </c>
      <c r="F18" s="345"/>
      <c r="G18" s="345"/>
      <c r="H18" s="345"/>
    </row>
    <row r="19" spans="1:8" ht="12.75" customHeight="1" x14ac:dyDescent="0.25">
      <c r="A19" s="289" t="s">
        <v>663</v>
      </c>
      <c r="B19" s="289"/>
      <c r="C19" s="159" t="s">
        <v>664</v>
      </c>
      <c r="D19" s="183"/>
      <c r="E19" s="193"/>
      <c r="F19" s="345"/>
      <c r="G19" s="345"/>
      <c r="H19" s="345"/>
    </row>
    <row r="20" spans="1:8" ht="12.75" customHeight="1" x14ac:dyDescent="0.25">
      <c r="A20" s="289" t="s">
        <v>665</v>
      </c>
      <c r="B20" s="289"/>
      <c r="C20" s="159" t="s">
        <v>666</v>
      </c>
      <c r="D20" s="183"/>
      <c r="E20" s="193" t="s">
        <v>223</v>
      </c>
      <c r="F20" s="345"/>
      <c r="G20" s="345"/>
      <c r="H20" s="345"/>
    </row>
    <row r="21" spans="1:8" x14ac:dyDescent="0.25">
      <c r="A21" s="289" t="s">
        <v>667</v>
      </c>
      <c r="B21" s="289"/>
      <c r="C21" s="159" t="s">
        <v>668</v>
      </c>
      <c r="D21" s="183"/>
      <c r="E21" s="193"/>
      <c r="F21" s="345"/>
      <c r="G21" s="345"/>
      <c r="H21" s="345"/>
    </row>
    <row r="22" spans="1:8" x14ac:dyDescent="0.25">
      <c r="A22" s="289" t="s">
        <v>669</v>
      </c>
      <c r="B22" s="289"/>
      <c r="C22" s="159" t="s">
        <v>670</v>
      </c>
      <c r="D22" s="183"/>
      <c r="E22" s="193" t="s">
        <v>223</v>
      </c>
      <c r="F22" s="345"/>
      <c r="G22" s="345"/>
      <c r="H22" s="345"/>
    </row>
    <row r="23" spans="1:8" x14ac:dyDescent="0.25">
      <c r="A23" s="289" t="s">
        <v>671</v>
      </c>
      <c r="B23" s="289"/>
      <c r="C23" s="159" t="s">
        <v>672</v>
      </c>
      <c r="D23" s="183"/>
      <c r="E23" s="193"/>
      <c r="F23" s="345"/>
      <c r="G23" s="345"/>
      <c r="H23" s="345"/>
    </row>
    <row r="24" spans="1:8" x14ac:dyDescent="0.25">
      <c r="A24" s="289" t="s">
        <v>673</v>
      </c>
      <c r="B24" s="289"/>
      <c r="C24" s="159" t="s">
        <v>364</v>
      </c>
      <c r="D24" s="183"/>
      <c r="E24" s="193" t="s">
        <v>223</v>
      </c>
      <c r="F24" s="345"/>
      <c r="G24" s="345"/>
      <c r="H24" s="345"/>
    </row>
    <row r="25" spans="1:8" x14ac:dyDescent="0.25">
      <c r="A25" s="289" t="s">
        <v>674</v>
      </c>
      <c r="B25" s="289"/>
      <c r="C25" s="159" t="s">
        <v>675</v>
      </c>
      <c r="D25" s="183"/>
      <c r="E25" s="193"/>
      <c r="F25" s="345"/>
      <c r="G25" s="345"/>
      <c r="H25" s="345"/>
    </row>
    <row r="26" spans="1:8" x14ac:dyDescent="0.25">
      <c r="A26" s="289" t="s">
        <v>676</v>
      </c>
      <c r="B26" s="289"/>
      <c r="C26" s="159" t="s">
        <v>677</v>
      </c>
      <c r="D26" s="174" t="e">
        <f>((D6*D7)+(D8*D9)+(D10*D11)+(D12*D13)+(D14*D15)+(D16*D17)+(D18*D20)+(D20*D21)+(D22*D23)+(D24*D25))/(SUM(D6,D8,D10,D12,D14,D16,D18,D20,D22,D24))</f>
        <v>#DIV/0!</v>
      </c>
      <c r="E26" s="193"/>
      <c r="F26" s="345"/>
      <c r="G26" s="345"/>
      <c r="H26" s="345"/>
    </row>
    <row r="27" spans="1:8" x14ac:dyDescent="0.25">
      <c r="A27" s="289" t="s">
        <v>678</v>
      </c>
      <c r="B27" s="289"/>
      <c r="C27" s="159" t="s">
        <v>214</v>
      </c>
      <c r="D27" s="174" t="e">
        <f>(1000/D26)-10</f>
        <v>#DIV/0!</v>
      </c>
      <c r="E27" s="193" t="s">
        <v>58</v>
      </c>
      <c r="F27" s="345"/>
      <c r="G27" s="345"/>
      <c r="H27" s="345"/>
    </row>
    <row r="28" spans="1:8" x14ac:dyDescent="0.25">
      <c r="A28" s="446" t="s">
        <v>679</v>
      </c>
      <c r="B28" s="447"/>
      <c r="C28" s="159" t="s">
        <v>634</v>
      </c>
      <c r="D28" s="174" t="e">
        <f>D3/(SUM(D6,D8,D10,D12,D14,D16,D18,D20,D22,D24))</f>
        <v>#DIV/0!</v>
      </c>
      <c r="E28" s="193" t="s">
        <v>271</v>
      </c>
      <c r="F28" s="435"/>
      <c r="G28" s="436"/>
      <c r="H28" s="437"/>
    </row>
    <row r="29" spans="1:8" x14ac:dyDescent="0.25">
      <c r="A29" s="448"/>
      <c r="B29" s="449"/>
      <c r="C29" s="159" t="s">
        <v>634</v>
      </c>
      <c r="D29" s="174" t="e">
        <f>D28*12</f>
        <v>#DIV/0!</v>
      </c>
      <c r="E29" s="193" t="s">
        <v>58</v>
      </c>
      <c r="F29" s="435"/>
      <c r="G29" s="436"/>
      <c r="H29" s="437"/>
    </row>
    <row r="30" spans="1:8" ht="13" x14ac:dyDescent="0.3">
      <c r="A30" s="445" t="s">
        <v>680</v>
      </c>
      <c r="B30" s="445"/>
      <c r="C30" s="23" t="s">
        <v>681</v>
      </c>
      <c r="D30" s="184" t="e">
        <f>((D27)+(2.5*D29)+((6.25*D29^2)+(25*D27*D29))^0.5)/5</f>
        <v>#DIV/0!</v>
      </c>
      <c r="E30" s="19" t="s">
        <v>58</v>
      </c>
      <c r="F30" s="435"/>
      <c r="G30" s="436"/>
      <c r="H30" s="437"/>
    </row>
  </sheetData>
  <sheetProtection algorithmName="SHA-512" hashValue="XXYvlMmIhW5LTFzHXxs528n4o1692IrZk+yPxmOyT73Dyjdbx/4gJ2WI4/KbGjtKZV6o+UxQVfx5c4zoItV8+Q==" saltValue="PiTi/Fr8+suEbb282dRKUg==" spinCount="100000" sheet="1" formatColumns="0" formatRows="0"/>
  <mergeCells count="57">
    <mergeCell ref="A1:H1"/>
    <mergeCell ref="A2:C2"/>
    <mergeCell ref="F2:H2"/>
    <mergeCell ref="A10:B10"/>
    <mergeCell ref="F10:H10"/>
    <mergeCell ref="A5:C5"/>
    <mergeCell ref="A3:B3"/>
    <mergeCell ref="F3:H3"/>
    <mergeCell ref="F8:H8"/>
    <mergeCell ref="A9:B9"/>
    <mergeCell ref="F9:H9"/>
    <mergeCell ref="A14:B14"/>
    <mergeCell ref="F14:H14"/>
    <mergeCell ref="A4:H4"/>
    <mergeCell ref="F5:H5"/>
    <mergeCell ref="A6:B6"/>
    <mergeCell ref="F6:H6"/>
    <mergeCell ref="A7:B7"/>
    <mergeCell ref="F7:H7"/>
    <mergeCell ref="A8:B8"/>
    <mergeCell ref="A11:B11"/>
    <mergeCell ref="F11:H11"/>
    <mergeCell ref="A12:B12"/>
    <mergeCell ref="F12:H12"/>
    <mergeCell ref="A13:B13"/>
    <mergeCell ref="F13:H13"/>
    <mergeCell ref="A15:B15"/>
    <mergeCell ref="F15:H15"/>
    <mergeCell ref="A26:B26"/>
    <mergeCell ref="F26:H26"/>
    <mergeCell ref="A27:B27"/>
    <mergeCell ref="F27:H27"/>
    <mergeCell ref="A16:B16"/>
    <mergeCell ref="F16:H16"/>
    <mergeCell ref="A17:B17"/>
    <mergeCell ref="F17:H17"/>
    <mergeCell ref="A18:B18"/>
    <mergeCell ref="F18:H18"/>
    <mergeCell ref="A19:B19"/>
    <mergeCell ref="F19:H19"/>
    <mergeCell ref="A20:B20"/>
    <mergeCell ref="F20:H20"/>
    <mergeCell ref="F28:H28"/>
    <mergeCell ref="F29:H29"/>
    <mergeCell ref="A30:B30"/>
    <mergeCell ref="F30:H30"/>
    <mergeCell ref="A28:B29"/>
    <mergeCell ref="A24:B24"/>
    <mergeCell ref="F24:H24"/>
    <mergeCell ref="A25:B25"/>
    <mergeCell ref="F25:H25"/>
    <mergeCell ref="A21:B21"/>
    <mergeCell ref="F21:H21"/>
    <mergeCell ref="A22:B22"/>
    <mergeCell ref="F22:H22"/>
    <mergeCell ref="A23:B23"/>
    <mergeCell ref="F23:H23"/>
  </mergeCells>
  <dataValidations count="1">
    <dataValidation type="decimal" operator="greaterThan" allowBlank="1" showInputMessage="1" showErrorMessage="1" sqref="D6:D25 D3" xr:uid="{818BBAE2-74C8-4422-81C7-F94EE85BF4AC}">
      <formula1>0</formula1>
    </dataValidation>
  </dataValidations>
  <pageMargins left="0.5" right="0.5" top="0.75" bottom="0.5" header="0.3" footer="0.3"/>
  <pageSetup paperSize="278" orientation="portrait" r:id="rId1"/>
  <headerFooter>
    <oddHeader>&amp;C&amp;"Arial,Regular"&amp;18Water Quality Peak Flow Rate</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C11"/>
  <sheetViews>
    <sheetView workbookViewId="0">
      <selection activeCell="C23" sqref="C23"/>
    </sheetView>
  </sheetViews>
  <sheetFormatPr defaultColWidth="9.1796875" defaultRowHeight="14" x14ac:dyDescent="0.3"/>
  <cols>
    <col min="1" max="1" width="9.81640625" style="39" bestFit="1" customWidth="1"/>
    <col min="2" max="2" width="45.7265625" style="39" customWidth="1"/>
    <col min="3" max="3" width="137.1796875" style="39" customWidth="1"/>
    <col min="4" max="16384" width="9.1796875" style="39"/>
  </cols>
  <sheetData>
    <row r="1" spans="1:3" x14ac:dyDescent="0.3">
      <c r="A1" s="39" t="s">
        <v>682</v>
      </c>
    </row>
    <row r="3" spans="1:3" x14ac:dyDescent="0.3">
      <c r="A3" s="5" t="s">
        <v>683</v>
      </c>
      <c r="B3" s="5" t="s">
        <v>684</v>
      </c>
      <c r="C3" s="5" t="s">
        <v>13</v>
      </c>
    </row>
    <row r="4" spans="1:3" x14ac:dyDescent="0.3">
      <c r="A4" s="40"/>
      <c r="B4" s="40"/>
      <c r="C4" s="12"/>
    </row>
    <row r="5" spans="1:3" x14ac:dyDescent="0.3">
      <c r="A5" s="41"/>
      <c r="B5" s="5"/>
      <c r="C5" s="5"/>
    </row>
    <row r="6" spans="1:3" x14ac:dyDescent="0.3">
      <c r="A6" s="41"/>
      <c r="B6" s="5"/>
      <c r="C6" s="5"/>
    </row>
    <row r="7" spans="1:3" x14ac:dyDescent="0.3">
      <c r="A7" s="41"/>
      <c r="B7" s="5"/>
      <c r="C7" s="5"/>
    </row>
    <row r="8" spans="1:3" x14ac:dyDescent="0.3">
      <c r="A8" s="41"/>
      <c r="B8" s="5"/>
      <c r="C8" s="5"/>
    </row>
    <row r="9" spans="1:3" x14ac:dyDescent="0.3">
      <c r="A9" s="41"/>
      <c r="B9" s="5"/>
      <c r="C9" s="5"/>
    </row>
    <row r="10" spans="1:3" x14ac:dyDescent="0.3">
      <c r="A10" s="41"/>
      <c r="B10" s="5"/>
      <c r="C10" s="5"/>
    </row>
    <row r="11" spans="1:3" x14ac:dyDescent="0.3">
      <c r="A11" s="41"/>
      <c r="B11" s="5"/>
      <c r="C11" s="5"/>
    </row>
  </sheetData>
  <sheetProtection formatColumns="0" formatRows="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008BC-4C96-44F4-951C-BCC9675D2563}">
  <dimension ref="A1:C71"/>
  <sheetViews>
    <sheetView topLeftCell="A24" workbookViewId="0">
      <selection activeCell="B53" sqref="B53"/>
    </sheetView>
  </sheetViews>
  <sheetFormatPr defaultColWidth="9.1796875" defaultRowHeight="14" x14ac:dyDescent="0.3"/>
  <cols>
    <col min="1" max="1" width="25.1796875" style="39" bestFit="1" customWidth="1"/>
    <col min="2" max="2" width="45.7265625" style="39" customWidth="1"/>
    <col min="3" max="3" width="137.1796875" style="39" customWidth="1"/>
    <col min="4" max="16384" width="9.1796875" style="39"/>
  </cols>
  <sheetData>
    <row r="1" spans="1:3" x14ac:dyDescent="0.3">
      <c r="A1" s="45" t="s">
        <v>685</v>
      </c>
    </row>
    <row r="2" spans="1:3" x14ac:dyDescent="0.3">
      <c r="A2" s="5" t="s">
        <v>686</v>
      </c>
    </row>
    <row r="3" spans="1:3" x14ac:dyDescent="0.3">
      <c r="A3" s="5" t="s">
        <v>419</v>
      </c>
      <c r="B3" s="5"/>
      <c r="C3" s="5"/>
    </row>
    <row r="4" spans="1:3" x14ac:dyDescent="0.3">
      <c r="A4" s="40" t="s">
        <v>687</v>
      </c>
      <c r="B4" s="40"/>
      <c r="C4" s="12"/>
    </row>
    <row r="5" spans="1:3" x14ac:dyDescent="0.3">
      <c r="A5" s="41" t="s">
        <v>688</v>
      </c>
      <c r="B5" s="5"/>
      <c r="C5" s="5"/>
    </row>
    <row r="6" spans="1:3" x14ac:dyDescent="0.3">
      <c r="A6" s="41" t="s">
        <v>385</v>
      </c>
      <c r="B6" s="5"/>
      <c r="C6" s="5"/>
    </row>
    <row r="7" spans="1:3" x14ac:dyDescent="0.3">
      <c r="A7" s="41" t="s">
        <v>689</v>
      </c>
      <c r="B7" s="5"/>
      <c r="C7" s="5"/>
    </row>
    <row r="8" spans="1:3" x14ac:dyDescent="0.3">
      <c r="A8" s="41" t="s">
        <v>389</v>
      </c>
      <c r="B8" s="5"/>
      <c r="C8" s="5"/>
    </row>
    <row r="9" spans="1:3" x14ac:dyDescent="0.3">
      <c r="A9" s="41" t="s">
        <v>690</v>
      </c>
      <c r="B9" s="5"/>
      <c r="C9" s="5"/>
    </row>
    <row r="10" spans="1:3" x14ac:dyDescent="0.3">
      <c r="A10" s="41" t="s">
        <v>691</v>
      </c>
      <c r="B10" s="5"/>
      <c r="C10" s="5"/>
    </row>
    <row r="11" spans="1:3" x14ac:dyDescent="0.3">
      <c r="A11" s="41" t="s">
        <v>692</v>
      </c>
      <c r="B11" s="5"/>
      <c r="C11" s="5"/>
    </row>
    <row r="12" spans="1:3" x14ac:dyDescent="0.3">
      <c r="A12" s="5" t="s">
        <v>215</v>
      </c>
    </row>
    <row r="13" spans="1:3" x14ac:dyDescent="0.3">
      <c r="A13" s="5" t="s">
        <v>216</v>
      </c>
    </row>
    <row r="14" spans="1:3" x14ac:dyDescent="0.3">
      <c r="A14" s="5" t="s">
        <v>217</v>
      </c>
    </row>
    <row r="15" spans="1:3" x14ac:dyDescent="0.3">
      <c r="A15" s="5" t="s">
        <v>218</v>
      </c>
    </row>
    <row r="16" spans="1:3" x14ac:dyDescent="0.3">
      <c r="A16" s="5" t="s">
        <v>577</v>
      </c>
    </row>
    <row r="17" spans="1:1" x14ac:dyDescent="0.3">
      <c r="A17" s="5" t="s">
        <v>578</v>
      </c>
    </row>
    <row r="18" spans="1:1" x14ac:dyDescent="0.3">
      <c r="A18" s="5" t="s">
        <v>563</v>
      </c>
    </row>
    <row r="19" spans="1:1" x14ac:dyDescent="0.3">
      <c r="A19" s="5" t="s">
        <v>693</v>
      </c>
    </row>
    <row r="20" spans="1:1" x14ac:dyDescent="0.3">
      <c r="A20" s="5" t="s">
        <v>694</v>
      </c>
    </row>
    <row r="21" spans="1:1" x14ac:dyDescent="0.3">
      <c r="A21" s="5" t="s">
        <v>568</v>
      </c>
    </row>
    <row r="22" spans="1:1" x14ac:dyDescent="0.3">
      <c r="A22" s="5" t="s">
        <v>695</v>
      </c>
    </row>
    <row r="23" spans="1:1" x14ac:dyDescent="0.3">
      <c r="A23" s="5" t="s">
        <v>696</v>
      </c>
    </row>
    <row r="24" spans="1:1" x14ac:dyDescent="0.3">
      <c r="A24" s="5" t="s">
        <v>84</v>
      </c>
    </row>
    <row r="25" spans="1:1" x14ac:dyDescent="0.3">
      <c r="A25" s="5" t="s">
        <v>86</v>
      </c>
    </row>
    <row r="26" spans="1:1" x14ac:dyDescent="0.3">
      <c r="A26" s="5" t="s">
        <v>88</v>
      </c>
    </row>
    <row r="27" spans="1:1" x14ac:dyDescent="0.3">
      <c r="A27" s="5" t="s">
        <v>90</v>
      </c>
    </row>
    <row r="28" spans="1:1" x14ac:dyDescent="0.3">
      <c r="A28" s="5" t="s">
        <v>92</v>
      </c>
    </row>
    <row r="29" spans="1:1" x14ac:dyDescent="0.3">
      <c r="A29" s="5" t="s">
        <v>94</v>
      </c>
    </row>
    <row r="30" spans="1:1" x14ac:dyDescent="0.3">
      <c r="A30" s="5" t="s">
        <v>566</v>
      </c>
    </row>
    <row r="31" spans="1:1" x14ac:dyDescent="0.3">
      <c r="A31" s="5" t="s">
        <v>98</v>
      </c>
    </row>
    <row r="32" spans="1:1" x14ac:dyDescent="0.3">
      <c r="A32" s="5" t="s">
        <v>697</v>
      </c>
    </row>
    <row r="33" spans="1:1" x14ac:dyDescent="0.3">
      <c r="A33" s="5" t="s">
        <v>120</v>
      </c>
    </row>
    <row r="34" spans="1:1" x14ac:dyDescent="0.3">
      <c r="A34" s="5" t="s">
        <v>698</v>
      </c>
    </row>
    <row r="35" spans="1:1" x14ac:dyDescent="0.3">
      <c r="A35" s="5" t="s">
        <v>124</v>
      </c>
    </row>
    <row r="36" spans="1:1" x14ac:dyDescent="0.3">
      <c r="A36" s="5" t="s">
        <v>126</v>
      </c>
    </row>
    <row r="37" spans="1:1" x14ac:dyDescent="0.3">
      <c r="A37" s="5" t="s">
        <v>128</v>
      </c>
    </row>
    <row r="38" spans="1:1" x14ac:dyDescent="0.3">
      <c r="A38" s="5" t="s">
        <v>130</v>
      </c>
    </row>
    <row r="39" spans="1:1" x14ac:dyDescent="0.3">
      <c r="A39" s="5" t="s">
        <v>132</v>
      </c>
    </row>
    <row r="40" spans="1:1" x14ac:dyDescent="0.3">
      <c r="A40" s="5" t="s">
        <v>134</v>
      </c>
    </row>
    <row r="41" spans="1:1" x14ac:dyDescent="0.3">
      <c r="A41" s="5" t="s">
        <v>101</v>
      </c>
    </row>
    <row r="42" spans="1:1" x14ac:dyDescent="0.3">
      <c r="A42" s="5" t="s">
        <v>103</v>
      </c>
    </row>
    <row r="43" spans="1:1" x14ac:dyDescent="0.3">
      <c r="A43" s="5" t="s">
        <v>105</v>
      </c>
    </row>
    <row r="44" spans="1:1" x14ac:dyDescent="0.3">
      <c r="A44" s="5" t="s">
        <v>107</v>
      </c>
    </row>
    <row r="45" spans="1:1" x14ac:dyDescent="0.3">
      <c r="A45" s="5" t="s">
        <v>136</v>
      </c>
    </row>
    <row r="46" spans="1:1" x14ac:dyDescent="0.3">
      <c r="A46" s="5" t="s">
        <v>138</v>
      </c>
    </row>
    <row r="47" spans="1:1" x14ac:dyDescent="0.3">
      <c r="A47" s="5" t="s">
        <v>140</v>
      </c>
    </row>
    <row r="48" spans="1:1" x14ac:dyDescent="0.3">
      <c r="A48" s="5" t="s">
        <v>109</v>
      </c>
    </row>
    <row r="49" spans="1:1" x14ac:dyDescent="0.3">
      <c r="A49" s="5" t="s">
        <v>111</v>
      </c>
    </row>
    <row r="50" spans="1:1" x14ac:dyDescent="0.3">
      <c r="A50" s="5" t="s">
        <v>113</v>
      </c>
    </row>
    <row r="51" spans="1:1" x14ac:dyDescent="0.3">
      <c r="A51" s="5" t="s">
        <v>564</v>
      </c>
    </row>
    <row r="52" spans="1:1" x14ac:dyDescent="0.3">
      <c r="A52" s="5" t="s">
        <v>142</v>
      </c>
    </row>
    <row r="53" spans="1:1" x14ac:dyDescent="0.3">
      <c r="A53" s="5" t="s">
        <v>145</v>
      </c>
    </row>
    <row r="54" spans="1:1" x14ac:dyDescent="0.3">
      <c r="A54" s="5" t="s">
        <v>147</v>
      </c>
    </row>
    <row r="55" spans="1:1" x14ac:dyDescent="0.3">
      <c r="A55" s="5" t="s">
        <v>560</v>
      </c>
    </row>
    <row r="56" spans="1:1" x14ac:dyDescent="0.3">
      <c r="A56" s="5" t="s">
        <v>248</v>
      </c>
    </row>
    <row r="57" spans="1:1" x14ac:dyDescent="0.3">
      <c r="A57" s="5" t="s">
        <v>571</v>
      </c>
    </row>
    <row r="58" spans="1:1" x14ac:dyDescent="0.3">
      <c r="A58" s="5" t="s">
        <v>118</v>
      </c>
    </row>
    <row r="59" spans="1:1" x14ac:dyDescent="0.3">
      <c r="A59" s="5" t="s">
        <v>120</v>
      </c>
    </row>
    <row r="60" spans="1:1" x14ac:dyDescent="0.3">
      <c r="A60" s="5" t="s">
        <v>122</v>
      </c>
    </row>
    <row r="61" spans="1:1" x14ac:dyDescent="0.3">
      <c r="A61" s="5" t="s">
        <v>124</v>
      </c>
    </row>
    <row r="62" spans="1:1" x14ac:dyDescent="0.3">
      <c r="A62" s="5" t="s">
        <v>126</v>
      </c>
    </row>
    <row r="63" spans="1:1" x14ac:dyDescent="0.3">
      <c r="A63" s="5" t="s">
        <v>128</v>
      </c>
    </row>
    <row r="64" spans="1:1" x14ac:dyDescent="0.3">
      <c r="A64" s="5" t="s">
        <v>130</v>
      </c>
    </row>
    <row r="65" spans="1:2" x14ac:dyDescent="0.3">
      <c r="A65" s="5" t="s">
        <v>132</v>
      </c>
    </row>
    <row r="66" spans="1:2" x14ac:dyDescent="0.3">
      <c r="A66" s="5" t="s">
        <v>136</v>
      </c>
    </row>
    <row r="67" spans="1:2" x14ac:dyDescent="0.3">
      <c r="A67" s="5" t="s">
        <v>138</v>
      </c>
    </row>
    <row r="68" spans="1:2" x14ac:dyDescent="0.3">
      <c r="A68" s="5" t="s">
        <v>140</v>
      </c>
    </row>
    <row r="69" spans="1:2" x14ac:dyDescent="0.3">
      <c r="A69" s="5" t="s">
        <v>699</v>
      </c>
      <c r="B69" s="5"/>
    </row>
    <row r="70" spans="1:2" x14ac:dyDescent="0.3">
      <c r="A70" s="5" t="s">
        <v>700</v>
      </c>
      <c r="B70" s="5"/>
    </row>
    <row r="71" spans="1:2" x14ac:dyDescent="0.3">
      <c r="A71" s="5" t="s">
        <v>701</v>
      </c>
      <c r="B71" s="5"/>
    </row>
  </sheetData>
  <sheetProtection formatColumns="0" formatRow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P42"/>
  <sheetViews>
    <sheetView view="pageLayout" zoomScaleNormal="100" workbookViewId="0">
      <selection activeCell="D4" sqref="D4"/>
    </sheetView>
  </sheetViews>
  <sheetFormatPr defaultColWidth="9.1796875" defaultRowHeight="12.5" x14ac:dyDescent="0.25"/>
  <cols>
    <col min="1" max="1" width="7.26953125" style="4" customWidth="1"/>
    <col min="2" max="2" width="33.54296875" style="4" customWidth="1"/>
    <col min="3" max="3" width="6.26953125" style="4" customWidth="1"/>
    <col min="4" max="4" width="12" style="4" customWidth="1"/>
    <col min="5" max="5" width="12" style="10" customWidth="1"/>
    <col min="6" max="6" width="12.1796875" style="11" customWidth="1"/>
    <col min="7" max="7" width="12" style="4" customWidth="1"/>
    <col min="8" max="8" width="11.453125" style="4" bestFit="1" customWidth="1"/>
    <col min="9" max="9" width="9.1796875" style="4"/>
    <col min="10" max="10" width="8.1796875" style="4" customWidth="1"/>
    <col min="11" max="16" width="9.1796875" style="4" hidden="1" customWidth="1"/>
    <col min="17" max="16384" width="9.1796875" style="4"/>
  </cols>
  <sheetData>
    <row r="1" spans="1:9" ht="15" customHeight="1" x14ac:dyDescent="0.25">
      <c r="A1" s="288" t="s">
        <v>69</v>
      </c>
      <c r="B1" s="289"/>
      <c r="C1" s="289"/>
      <c r="D1" s="289"/>
      <c r="E1" s="289"/>
      <c r="F1" s="289"/>
      <c r="G1" s="289"/>
    </row>
    <row r="2" spans="1:9" ht="60.65" customHeight="1" x14ac:dyDescent="0.25">
      <c r="A2" s="226"/>
      <c r="B2" s="90" t="s">
        <v>70</v>
      </c>
      <c r="C2" s="90"/>
      <c r="D2" s="91" t="s">
        <v>71</v>
      </c>
      <c r="E2" s="92" t="s">
        <v>72</v>
      </c>
      <c r="F2" s="92" t="s">
        <v>73</v>
      </c>
      <c r="G2" s="91" t="s">
        <v>74</v>
      </c>
      <c r="I2" s="221"/>
    </row>
    <row r="3" spans="1:9" ht="15" customHeight="1" x14ac:dyDescent="0.25">
      <c r="A3" s="228"/>
      <c r="B3" s="93"/>
      <c r="C3" s="93"/>
      <c r="D3" s="94" t="s">
        <v>75</v>
      </c>
      <c r="E3" s="94" t="s">
        <v>75</v>
      </c>
      <c r="F3" s="94" t="s">
        <v>76</v>
      </c>
      <c r="G3" s="94" t="s">
        <v>76</v>
      </c>
    </row>
    <row r="4" spans="1:9" ht="15" customHeight="1" x14ac:dyDescent="0.25">
      <c r="A4" s="293" t="s">
        <v>77</v>
      </c>
      <c r="B4" s="198" t="s">
        <v>78</v>
      </c>
      <c r="C4" s="198" t="s">
        <v>79</v>
      </c>
      <c r="D4" s="22">
        <f>'(RR-1) Conservation'!K1</f>
        <v>0</v>
      </c>
      <c r="E4" s="95"/>
      <c r="F4" s="217">
        <f>'(RR-1) Conservation'!K2</f>
        <v>0</v>
      </c>
      <c r="G4" s="294"/>
    </row>
    <row r="5" spans="1:9" ht="29.25" customHeight="1" x14ac:dyDescent="0.25">
      <c r="A5" s="291"/>
      <c r="B5" s="198" t="s">
        <v>80</v>
      </c>
      <c r="C5" s="198" t="s">
        <v>81</v>
      </c>
      <c r="D5" s="22">
        <f>'(RR-2) Riparian Buffer'!K2+'(RR-2) Grass Filter Strip'!K2</f>
        <v>0</v>
      </c>
      <c r="E5" s="22">
        <f>'(RR-2) Riparian Buffer'!K3+'(RR-2) Grass Filter Strip'!K3</f>
        <v>0</v>
      </c>
      <c r="F5" s="217">
        <f>'(RR-2) Riparian Buffer'!K4+'(RR-2) Grass Filter Strip'!K4</f>
        <v>0</v>
      </c>
      <c r="G5" s="295"/>
    </row>
    <row r="6" spans="1:9" ht="15" customHeight="1" x14ac:dyDescent="0.25">
      <c r="A6" s="291"/>
      <c r="B6" s="198" t="s">
        <v>82</v>
      </c>
      <c r="C6" s="198" t="s">
        <v>83</v>
      </c>
      <c r="D6" s="22">
        <f>'(RR-3) Tree Planting'!K1+'(RR-3) Tree Pit'!N2+'(RR-3) Tree Trench'!N2</f>
        <v>0</v>
      </c>
      <c r="E6" s="22">
        <f>'(RR-3) Tree Planting'!K2+'(RR-3) Tree Pit'!N3+'(RR-3) Tree Trench'!N3</f>
        <v>0</v>
      </c>
      <c r="F6" s="217">
        <f>'(RR-3) Tree Planting'!K3+'(RR-3) Tree Pit'!N4+'(RR-3) Tree Trench'!N4</f>
        <v>0</v>
      </c>
      <c r="G6" s="295"/>
    </row>
    <row r="7" spans="1:9" ht="15" customHeight="1" x14ac:dyDescent="0.25">
      <c r="A7" s="291"/>
      <c r="B7" s="198" t="s">
        <v>84</v>
      </c>
      <c r="C7" s="198" t="s">
        <v>85</v>
      </c>
      <c r="D7" s="96"/>
      <c r="E7" s="22">
        <f>'(RR-4) Disconnection'!K2</f>
        <v>0</v>
      </c>
      <c r="F7" s="217">
        <f>'(RR-4) Disconnection'!K3</f>
        <v>0</v>
      </c>
      <c r="G7" s="295"/>
    </row>
    <row r="8" spans="1:9" ht="15" customHeight="1" x14ac:dyDescent="0.25">
      <c r="A8" s="291"/>
      <c r="B8" s="198" t="s">
        <v>86</v>
      </c>
      <c r="C8" s="198" t="s">
        <v>87</v>
      </c>
      <c r="D8" s="22">
        <f>'(RR-5) Vegetated Swale'!K2</f>
        <v>0</v>
      </c>
      <c r="E8" s="97">
        <f>'(RR-5) Vegetated Swale'!K3</f>
        <v>0</v>
      </c>
      <c r="F8" s="217">
        <f>'(RR-5) Vegetated Swale'!K4</f>
        <v>0</v>
      </c>
      <c r="G8" s="295"/>
    </row>
    <row r="9" spans="1:9" ht="15" customHeight="1" x14ac:dyDescent="0.25">
      <c r="A9" s="291"/>
      <c r="B9" s="198" t="s">
        <v>88</v>
      </c>
      <c r="C9" s="198" t="s">
        <v>89</v>
      </c>
      <c r="D9" s="22">
        <f>'(RR-6) Rain Garden'!N2</f>
        <v>0</v>
      </c>
      <c r="E9" s="97">
        <f>'(RR-6) Rain Garden'!N3</f>
        <v>0</v>
      </c>
      <c r="F9" s="217">
        <f>'(RR-6) Rain Garden'!N4</f>
        <v>0</v>
      </c>
      <c r="G9" s="295"/>
    </row>
    <row r="10" spans="1:9" ht="15" customHeight="1" x14ac:dyDescent="0.25">
      <c r="A10" s="291"/>
      <c r="B10" s="198" t="s">
        <v>90</v>
      </c>
      <c r="C10" s="198" t="s">
        <v>91</v>
      </c>
      <c r="D10" s="22">
        <f>'(RR-7) Stormwater Planter'!N2</f>
        <v>0</v>
      </c>
      <c r="E10" s="97">
        <f>'(RR-7) Stormwater Planter'!N3</f>
        <v>0</v>
      </c>
      <c r="F10" s="217">
        <f>'(RR-7) Stormwater Planter'!N4</f>
        <v>0</v>
      </c>
      <c r="G10" s="295"/>
    </row>
    <row r="11" spans="1:9" ht="15" customHeight="1" x14ac:dyDescent="0.25">
      <c r="A11" s="291"/>
      <c r="B11" s="198" t="s">
        <v>92</v>
      </c>
      <c r="C11" s="198" t="s">
        <v>93</v>
      </c>
      <c r="D11" s="22">
        <f>'(RR-8) Rainwater Harvesting'!K2</f>
        <v>0</v>
      </c>
      <c r="E11" s="97">
        <f>'(RR-8) Rainwater Harvesting'!K3</f>
        <v>0</v>
      </c>
      <c r="F11" s="217">
        <f>'(RR-8) Rainwater Harvesting'!K4</f>
        <v>0</v>
      </c>
      <c r="G11" s="295"/>
    </row>
    <row r="12" spans="1:9" ht="15" customHeight="1" x14ac:dyDescent="0.25">
      <c r="A12" s="291"/>
      <c r="B12" s="198" t="s">
        <v>94</v>
      </c>
      <c r="C12" s="198" t="s">
        <v>95</v>
      </c>
      <c r="D12" s="22">
        <f>'(RR-9) Porous Pavement'!K2</f>
        <v>0</v>
      </c>
      <c r="E12" s="97">
        <f>'(RR-9) Porous Pavement'!K3</f>
        <v>0</v>
      </c>
      <c r="F12" s="217">
        <f>'(RR-9) Porous Pavement'!K4</f>
        <v>0</v>
      </c>
      <c r="G12" s="295"/>
      <c r="H12" s="98"/>
    </row>
    <row r="13" spans="1:9" ht="15" customHeight="1" x14ac:dyDescent="0.25">
      <c r="A13" s="291"/>
      <c r="B13" s="198" t="s">
        <v>96</v>
      </c>
      <c r="C13" s="198" t="s">
        <v>97</v>
      </c>
      <c r="D13" s="22">
        <f>'(RR-10) Green Roof'!K2</f>
        <v>0</v>
      </c>
      <c r="E13" s="97">
        <f>'(RR-10) Green Roof'!K3</f>
        <v>0</v>
      </c>
      <c r="F13" s="217">
        <f>'(RR-10) Green Roof'!K4</f>
        <v>0</v>
      </c>
      <c r="G13" s="295"/>
      <c r="H13" s="221"/>
    </row>
    <row r="14" spans="1:9" ht="15" customHeight="1" thickBot="1" x14ac:dyDescent="0.3">
      <c r="A14" s="292"/>
      <c r="B14" s="99" t="s">
        <v>98</v>
      </c>
      <c r="C14" s="99" t="s">
        <v>99</v>
      </c>
      <c r="D14" s="57"/>
      <c r="E14" s="57"/>
      <c r="F14" s="55"/>
      <c r="G14" s="296"/>
      <c r="H14" s="221"/>
    </row>
    <row r="15" spans="1:9" ht="15" customHeight="1" x14ac:dyDescent="0.25">
      <c r="A15" s="290" t="s">
        <v>100</v>
      </c>
      <c r="B15" s="100" t="s">
        <v>101</v>
      </c>
      <c r="C15" s="100" t="s">
        <v>102</v>
      </c>
      <c r="D15" s="101">
        <f>'(I-1) Infiltration Trench'!O2</f>
        <v>0</v>
      </c>
      <c r="E15" s="102">
        <f>'(I-1) Infiltration Trench'!O3</f>
        <v>0</v>
      </c>
      <c r="F15" s="103">
        <f>'(I-1) Infiltration Trench'!O4</f>
        <v>0</v>
      </c>
      <c r="G15" s="103">
        <f>'(I-1) Infiltration Trench'!O5</f>
        <v>0</v>
      </c>
      <c r="H15" s="221"/>
    </row>
    <row r="16" spans="1:9" ht="15" customHeight="1" x14ac:dyDescent="0.25">
      <c r="A16" s="291"/>
      <c r="B16" s="198" t="s">
        <v>103</v>
      </c>
      <c r="C16" s="198" t="s">
        <v>104</v>
      </c>
      <c r="D16" s="22">
        <f>'(I-2) Infiltration Basin'!O2</f>
        <v>0</v>
      </c>
      <c r="E16" s="97">
        <f>'(I-2) Infiltration Basin'!O3</f>
        <v>0</v>
      </c>
      <c r="F16" s="217">
        <f>'(I-2) Infiltration Basin'!O4</f>
        <v>0</v>
      </c>
      <c r="G16" s="217">
        <f>'(I-2) Infiltration Basin'!O5</f>
        <v>0</v>
      </c>
      <c r="H16" s="104"/>
    </row>
    <row r="17" spans="1:8" ht="15" customHeight="1" x14ac:dyDescent="0.25">
      <c r="A17" s="291"/>
      <c r="B17" s="198" t="s">
        <v>105</v>
      </c>
      <c r="C17" s="198" t="s">
        <v>106</v>
      </c>
      <c r="D17" s="22">
        <f>'(I-3) Dry Well'!O2</f>
        <v>0</v>
      </c>
      <c r="E17" s="97">
        <f>'(I-3) Dry Well'!O3</f>
        <v>0</v>
      </c>
      <c r="F17" s="217">
        <f>'(I-3) Dry Well'!O4</f>
        <v>0</v>
      </c>
      <c r="G17" s="217">
        <f>'(I-3) Dry Well'!O5</f>
        <v>0</v>
      </c>
      <c r="H17" s="104"/>
    </row>
    <row r="18" spans="1:8" ht="15" customHeight="1" x14ac:dyDescent="0.25">
      <c r="A18" s="291"/>
      <c r="B18" s="198" t="s">
        <v>107</v>
      </c>
      <c r="C18" s="198" t="s">
        <v>108</v>
      </c>
      <c r="D18" s="22">
        <f>'(I-4) Underground Infiltration'!O2</f>
        <v>0</v>
      </c>
      <c r="E18" s="97">
        <f>'(I-4) Underground Infiltration'!O3</f>
        <v>0</v>
      </c>
      <c r="F18" s="217">
        <f>'(I-4) Underground Infiltration'!O4</f>
        <v>0</v>
      </c>
      <c r="G18" s="217">
        <f>'(I-4) Underground Infiltration'!O5</f>
        <v>0</v>
      </c>
      <c r="H18" s="104"/>
    </row>
    <row r="19" spans="1:8" x14ac:dyDescent="0.25">
      <c r="A19" s="291"/>
      <c r="B19" s="198" t="s">
        <v>109</v>
      </c>
      <c r="C19" s="198" t="s">
        <v>110</v>
      </c>
      <c r="D19" s="22">
        <f>'(F-4) Infiltration Bioretention'!O2</f>
        <v>0</v>
      </c>
      <c r="E19" s="97">
        <f>'(F-4) Infiltration Bioretention'!O3</f>
        <v>0</v>
      </c>
      <c r="F19" s="217">
        <f>'(F-4) Infiltration Bioretention'!O4</f>
        <v>0</v>
      </c>
      <c r="G19" s="217">
        <f>'(F-4) Infiltration Bioretention'!O5</f>
        <v>0</v>
      </c>
      <c r="H19" s="98"/>
    </row>
    <row r="20" spans="1:8" x14ac:dyDescent="0.25">
      <c r="A20" s="291"/>
      <c r="B20" s="198" t="s">
        <v>111</v>
      </c>
      <c r="C20" s="198" t="s">
        <v>112</v>
      </c>
      <c r="D20" s="22">
        <f>'(F-5) Filtration Bioretention'!O2</f>
        <v>0</v>
      </c>
      <c r="E20" s="97">
        <f>'(F-5) Filtration Bioretention'!O3</f>
        <v>0</v>
      </c>
      <c r="F20" s="217">
        <f>'(F-5) Filtration Bioretention'!O4</f>
        <v>0</v>
      </c>
      <c r="G20" s="217">
        <f>'(F-5) Filtration Bioretention'!O5</f>
        <v>0</v>
      </c>
      <c r="H20" s="98"/>
    </row>
    <row r="21" spans="1:8" x14ac:dyDescent="0.25">
      <c r="A21" s="291"/>
      <c r="B21" s="198" t="s">
        <v>113</v>
      </c>
      <c r="C21" s="198" t="s">
        <v>114</v>
      </c>
      <c r="D21" s="22">
        <f>'(F-6) Bioslope'!O2</f>
        <v>0</v>
      </c>
      <c r="E21" s="97">
        <f>'(F-6) Bioslope'!O3</f>
        <v>0</v>
      </c>
      <c r="F21" s="217">
        <f>'(F-6) Bioslope'!O4</f>
        <v>0</v>
      </c>
      <c r="G21" s="217">
        <f>'(F-6) Bioslope'!O5</f>
        <v>0</v>
      </c>
      <c r="H21" s="98"/>
    </row>
    <row r="22" spans="1:8" ht="15" customHeight="1" thickBot="1" x14ac:dyDescent="0.3">
      <c r="A22" s="292"/>
      <c r="B22" s="99" t="s">
        <v>115</v>
      </c>
      <c r="C22" s="99" t="s">
        <v>116</v>
      </c>
      <c r="D22" s="105">
        <f>'(O-1) Dry Swale'!K2</f>
        <v>0</v>
      </c>
      <c r="E22" s="106">
        <f>'(O-1) Dry Swale'!K3</f>
        <v>0</v>
      </c>
      <c r="F22" s="107">
        <f>'(O-1) Dry Swale'!K4</f>
        <v>0</v>
      </c>
      <c r="G22" s="107">
        <f>'(O-1) Dry Swale'!K5</f>
        <v>0</v>
      </c>
      <c r="H22" s="98"/>
    </row>
    <row r="23" spans="1:8" ht="15" customHeight="1" x14ac:dyDescent="0.25">
      <c r="A23" s="290" t="s">
        <v>117</v>
      </c>
      <c r="B23" s="100" t="s">
        <v>118</v>
      </c>
      <c r="C23" s="100" t="s">
        <v>119</v>
      </c>
      <c r="D23" s="101">
        <f>'(P-1 thru P-4) Ponds'!K2</f>
        <v>0</v>
      </c>
      <c r="E23" s="101">
        <f>'(P-1 thru P-4) Ponds'!K8</f>
        <v>0</v>
      </c>
      <c r="F23" s="108"/>
      <c r="G23" s="103">
        <f>'(P-1 thru P-4) Ponds'!K14</f>
        <v>0</v>
      </c>
      <c r="H23" s="98"/>
    </row>
    <row r="24" spans="1:8" ht="15" customHeight="1" x14ac:dyDescent="0.25">
      <c r="A24" s="291"/>
      <c r="B24" s="198" t="s">
        <v>120</v>
      </c>
      <c r="C24" s="198" t="s">
        <v>121</v>
      </c>
      <c r="D24" s="22">
        <f>'(P-1 thru P-4) Ponds'!P2</f>
        <v>0</v>
      </c>
      <c r="E24" s="22">
        <f>'(P-1 thru P-4) Ponds'!P8</f>
        <v>0</v>
      </c>
      <c r="F24" s="109"/>
      <c r="G24" s="217">
        <f>'(P-1 thru P-4) Ponds'!P14</f>
        <v>0</v>
      </c>
      <c r="H24" s="98"/>
    </row>
    <row r="25" spans="1:8" ht="15" customHeight="1" x14ac:dyDescent="0.25">
      <c r="A25" s="291"/>
      <c r="B25" s="198" t="s">
        <v>122</v>
      </c>
      <c r="C25" s="198" t="s">
        <v>123</v>
      </c>
      <c r="D25" s="22">
        <f>'(P-1 thru P-4) Ponds'!K22</f>
        <v>0</v>
      </c>
      <c r="E25" s="22">
        <f>'(P-1 thru P-4) Ponds'!K28</f>
        <v>0</v>
      </c>
      <c r="F25" s="109"/>
      <c r="G25" s="217">
        <f>'(P-1 thru P-4) Ponds'!K34</f>
        <v>0</v>
      </c>
      <c r="H25" s="221"/>
    </row>
    <row r="26" spans="1:8" ht="15" customHeight="1" x14ac:dyDescent="0.25">
      <c r="A26" s="291"/>
      <c r="B26" s="198" t="s">
        <v>124</v>
      </c>
      <c r="C26" s="198" t="s">
        <v>125</v>
      </c>
      <c r="D26" s="22">
        <f>'(P-1 thru P-4) Ponds'!P22</f>
        <v>0</v>
      </c>
      <c r="E26" s="22">
        <f>'(P-1 thru P-4) Ponds'!P28</f>
        <v>0</v>
      </c>
      <c r="F26" s="109"/>
      <c r="G26" s="217">
        <f>'(P-1 thru P-4) Ponds'!P34</f>
        <v>0</v>
      </c>
      <c r="H26" s="221"/>
    </row>
    <row r="27" spans="1:8" ht="15" customHeight="1" x14ac:dyDescent="0.25">
      <c r="A27" s="291"/>
      <c r="B27" s="198" t="s">
        <v>126</v>
      </c>
      <c r="C27" s="198" t="s">
        <v>127</v>
      </c>
      <c r="D27" s="22">
        <f>'(W-1 thru W-4) Wetlands'!K2</f>
        <v>0</v>
      </c>
      <c r="E27" s="22">
        <f>'(W-1 thru W-4) Wetlands'!K8</f>
        <v>0</v>
      </c>
      <c r="F27" s="109"/>
      <c r="G27" s="217">
        <f>'(W-1 thru W-4) Wetlands'!K14</f>
        <v>0</v>
      </c>
      <c r="H27" s="221"/>
    </row>
    <row r="28" spans="1:8" ht="15" customHeight="1" x14ac:dyDescent="0.25">
      <c r="A28" s="291"/>
      <c r="B28" s="198" t="s">
        <v>128</v>
      </c>
      <c r="C28" s="198" t="s">
        <v>129</v>
      </c>
      <c r="D28" s="22">
        <f>'(W-1 thru W-4) Wetlands'!P2</f>
        <v>0</v>
      </c>
      <c r="E28" s="22">
        <f>'(W-1 thru W-4) Wetlands'!P8</f>
        <v>0</v>
      </c>
      <c r="F28" s="109"/>
      <c r="G28" s="217">
        <f>'(W-1 thru W-4) Wetlands'!P14</f>
        <v>0</v>
      </c>
      <c r="H28" s="221"/>
    </row>
    <row r="29" spans="1:8" ht="15" customHeight="1" x14ac:dyDescent="0.25">
      <c r="A29" s="291"/>
      <c r="B29" s="198" t="s">
        <v>130</v>
      </c>
      <c r="C29" s="198" t="s">
        <v>131</v>
      </c>
      <c r="D29" s="22">
        <f>'(W-1 thru W-4) Wetlands'!K21</f>
        <v>0</v>
      </c>
      <c r="E29" s="22">
        <f>'(W-1 thru W-4) Wetlands'!K27</f>
        <v>0</v>
      </c>
      <c r="F29" s="109"/>
      <c r="G29" s="217">
        <f>'(W-1 thru W-4) Wetlands'!K33</f>
        <v>0</v>
      </c>
      <c r="H29" s="221"/>
    </row>
    <row r="30" spans="1:8" ht="15" customHeight="1" x14ac:dyDescent="0.25">
      <c r="A30" s="291"/>
      <c r="B30" s="198" t="s">
        <v>132</v>
      </c>
      <c r="C30" s="198" t="s">
        <v>133</v>
      </c>
      <c r="D30" s="22">
        <f>'(W-1 thru W-4) Wetlands'!P21</f>
        <v>0</v>
      </c>
      <c r="E30" s="22">
        <f>'(W-1 thru W-4) Wetlands'!P27</f>
        <v>0</v>
      </c>
      <c r="F30" s="109"/>
      <c r="G30" s="217">
        <f>'(W-1 thru W-4) Wetlands'!P33</f>
        <v>0</v>
      </c>
      <c r="H30" s="221"/>
    </row>
    <row r="31" spans="1:8" ht="15" customHeight="1" x14ac:dyDescent="0.25">
      <c r="A31" s="291"/>
      <c r="B31" s="198" t="s">
        <v>134</v>
      </c>
      <c r="C31" s="198" t="s">
        <v>135</v>
      </c>
      <c r="D31" s="22">
        <f>'(W-5) Gravel Wetland'!K2</f>
        <v>0</v>
      </c>
      <c r="E31" s="22">
        <f>'(W-5) Gravel Wetland'!K3</f>
        <v>0</v>
      </c>
      <c r="F31" s="109"/>
      <c r="G31" s="217">
        <f>'(W-5) Gravel Wetland'!K4</f>
        <v>0</v>
      </c>
      <c r="H31" s="221"/>
    </row>
    <row r="32" spans="1:8" ht="15" customHeight="1" x14ac:dyDescent="0.25">
      <c r="A32" s="291"/>
      <c r="B32" s="198" t="s">
        <v>136</v>
      </c>
      <c r="C32" s="198" t="s">
        <v>137</v>
      </c>
      <c r="D32" s="22">
        <f>'(F-1 thru F-3) Filters'!K2</f>
        <v>0</v>
      </c>
      <c r="E32" s="22">
        <f>'(F-1 thru F-3) Filters'!K8</f>
        <v>0</v>
      </c>
      <c r="F32" s="109"/>
      <c r="G32" s="217">
        <f>'(F-1 thru F-3) Filters'!K14</f>
        <v>0</v>
      </c>
      <c r="H32" s="221"/>
    </row>
    <row r="33" spans="1:8" ht="15" customHeight="1" x14ac:dyDescent="0.25">
      <c r="A33" s="291"/>
      <c r="B33" s="198" t="s">
        <v>138</v>
      </c>
      <c r="C33" s="198" t="s">
        <v>139</v>
      </c>
      <c r="D33" s="22">
        <f>'(F-1 thru F-3) Filters'!P2</f>
        <v>0</v>
      </c>
      <c r="E33" s="22">
        <f>'(F-1 thru F-3) Filters'!P8</f>
        <v>0</v>
      </c>
      <c r="F33" s="109"/>
      <c r="G33" s="217">
        <f>'(F-1 thru F-3) Filters'!P14</f>
        <v>0</v>
      </c>
      <c r="H33" s="221"/>
    </row>
    <row r="34" spans="1:8" ht="15" customHeight="1" x14ac:dyDescent="0.25">
      <c r="A34" s="291"/>
      <c r="B34" s="198" t="s">
        <v>140</v>
      </c>
      <c r="C34" s="198" t="s">
        <v>141</v>
      </c>
      <c r="D34" s="22">
        <f>'(F-1 thru F-3) Filters'!K22</f>
        <v>0</v>
      </c>
      <c r="E34" s="22">
        <f>'(F-1 thru F-3) Filters'!K28</f>
        <v>0</v>
      </c>
      <c r="F34" s="109"/>
      <c r="G34" s="217">
        <f>'(F-1 thru F-3) Filters'!K34</f>
        <v>0</v>
      </c>
      <c r="H34" s="221"/>
    </row>
    <row r="35" spans="1:8" ht="15" customHeight="1" thickBot="1" x14ac:dyDescent="0.3">
      <c r="A35" s="292"/>
      <c r="B35" s="99" t="s">
        <v>142</v>
      </c>
      <c r="C35" s="99" t="s">
        <v>143</v>
      </c>
      <c r="D35" s="105">
        <f>'(O-2) Wet Swale'!K2</f>
        <v>0</v>
      </c>
      <c r="E35" s="105">
        <f>'(O-2) Wet Swale'!K3</f>
        <v>0</v>
      </c>
      <c r="F35" s="110"/>
      <c r="G35" s="107">
        <f>'(O-2) Wet Swale'!K4</f>
        <v>0</v>
      </c>
      <c r="H35" s="221"/>
    </row>
    <row r="36" spans="1:8" ht="18" customHeight="1" x14ac:dyDescent="0.25">
      <c r="A36" s="290" t="s">
        <v>144</v>
      </c>
      <c r="B36" s="100" t="s">
        <v>145</v>
      </c>
      <c r="C36" s="100" t="s">
        <v>146</v>
      </c>
      <c r="D36" s="101">
        <f>'Flow Based Alt. Practice'!K2</f>
        <v>0</v>
      </c>
      <c r="E36" s="101">
        <f>'Flow Based Alt. Practice'!K3</f>
        <v>0</v>
      </c>
      <c r="F36" s="108"/>
      <c r="G36" s="103">
        <f>'Flow Based Alt. Practice'!K5</f>
        <v>0</v>
      </c>
      <c r="H36" s="221"/>
    </row>
    <row r="37" spans="1:8" ht="19.5" customHeight="1" thickBot="1" x14ac:dyDescent="0.3">
      <c r="A37" s="292"/>
      <c r="B37" s="99" t="s">
        <v>147</v>
      </c>
      <c r="C37" s="99" t="s">
        <v>146</v>
      </c>
      <c r="D37" s="58"/>
      <c r="E37" s="58"/>
      <c r="F37" s="110"/>
      <c r="G37" s="56"/>
      <c r="H37" s="221"/>
    </row>
    <row r="38" spans="1:8" ht="19.399999999999999" customHeight="1" x14ac:dyDescent="0.25">
      <c r="A38" s="282" t="s">
        <v>148</v>
      </c>
      <c r="B38" s="283"/>
      <c r="C38" s="201" t="s">
        <v>149</v>
      </c>
      <c r="D38" s="27">
        <f>SUM(D4:D14)</f>
        <v>0</v>
      </c>
      <c r="E38" s="27">
        <f>SUM(E4:E14)</f>
        <v>0</v>
      </c>
      <c r="F38" s="111">
        <f>SUM(F4:F14)</f>
        <v>0</v>
      </c>
      <c r="G38" s="112"/>
      <c r="H38" s="221"/>
    </row>
    <row r="39" spans="1:8" ht="19.399999999999999" customHeight="1" x14ac:dyDescent="0.25">
      <c r="A39" s="284" t="s">
        <v>150</v>
      </c>
      <c r="B39" s="285"/>
      <c r="C39" s="202" t="s">
        <v>149</v>
      </c>
      <c r="D39" s="22">
        <f>SUM(D15:D22)</f>
        <v>0</v>
      </c>
      <c r="E39" s="22">
        <f>SUM(E15:E22)</f>
        <v>0</v>
      </c>
      <c r="F39" s="111">
        <f>SUM(F15:F22)</f>
        <v>0</v>
      </c>
      <c r="G39" s="113">
        <f>SUM(G15:G22)</f>
        <v>0</v>
      </c>
      <c r="H39" s="221"/>
    </row>
    <row r="40" spans="1:8" ht="19.399999999999999" customHeight="1" x14ac:dyDescent="0.25">
      <c r="A40" s="284" t="s">
        <v>151</v>
      </c>
      <c r="B40" s="285"/>
      <c r="C40" s="202" t="s">
        <v>149</v>
      </c>
      <c r="D40" s="22">
        <f>SUM(D23:D35)</f>
        <v>0</v>
      </c>
      <c r="E40" s="22">
        <f>SUM(E23:E35)</f>
        <v>0</v>
      </c>
      <c r="F40" s="114"/>
      <c r="G40" s="113">
        <f>SUM(G23:G35)</f>
        <v>0</v>
      </c>
      <c r="H40" s="221"/>
    </row>
    <row r="41" spans="1:8" ht="19.399999999999999" customHeight="1" x14ac:dyDescent="0.25">
      <c r="A41" s="115"/>
      <c r="B41" s="116" t="s">
        <v>152</v>
      </c>
      <c r="C41" s="202" t="s">
        <v>149</v>
      </c>
      <c r="D41" s="117">
        <f>SUM(D36:D37)</f>
        <v>0</v>
      </c>
      <c r="E41" s="117">
        <f>SUM(E36:E37)</f>
        <v>0</v>
      </c>
      <c r="F41" s="118"/>
      <c r="G41" s="119">
        <f>SUM(G36:G37)</f>
        <v>0</v>
      </c>
      <c r="H41" s="221"/>
    </row>
    <row r="42" spans="1:8" ht="20.149999999999999" customHeight="1" thickBot="1" x14ac:dyDescent="0.3">
      <c r="A42" s="286" t="s">
        <v>153</v>
      </c>
      <c r="B42" s="287"/>
      <c r="C42" s="120" t="s">
        <v>149</v>
      </c>
      <c r="D42" s="105">
        <f>SUM(D38:D41)</f>
        <v>0</v>
      </c>
      <c r="E42" s="105">
        <f>SUM(E38:E41)</f>
        <v>0</v>
      </c>
      <c r="F42" s="121">
        <f>SUM(F38:F41)</f>
        <v>0</v>
      </c>
      <c r="G42" s="122">
        <f>SUM(G38:G41)</f>
        <v>0</v>
      </c>
      <c r="H42" s="221"/>
    </row>
  </sheetData>
  <sheetProtection algorithmName="SHA-512" hashValue="2gnzIN/Z8RYTaQvutVHXXndFoobzJoD0w2JwfZhQgLMDSnqjWM0eu8qwZyJIPa/lbrfMpMunRbLHhOD6piUS+Q==" saltValue="Yi2EgVKeZpkLaXqWiHjOng==" spinCount="100000" sheet="1" formatColumns="0" formatRows="0"/>
  <mergeCells count="10">
    <mergeCell ref="A38:B38"/>
    <mergeCell ref="A39:B39"/>
    <mergeCell ref="A40:B40"/>
    <mergeCell ref="A42:B42"/>
    <mergeCell ref="A1:G1"/>
    <mergeCell ref="A15:A22"/>
    <mergeCell ref="A4:A14"/>
    <mergeCell ref="G4:G14"/>
    <mergeCell ref="A23:A35"/>
    <mergeCell ref="A36:A37"/>
  </mergeCells>
  <dataValidations count="1">
    <dataValidation type="decimal" operator="greaterThan" allowBlank="1" showInputMessage="1" showErrorMessage="1" sqref="D14:F14 D37:E37 G37" xr:uid="{F519ACA9-F5DF-4C0B-A29D-14BE67049617}">
      <formula1>0</formula1>
    </dataValidation>
  </dataValidations>
  <printOptions gridLines="1"/>
  <pageMargins left="0.5" right="0.5" top="0.75" bottom="0.5" header="0.3" footer="0.3"/>
  <pageSetup paperSize="278" orientation="portrait" r:id="rId1"/>
  <headerFooter>
    <oddHeader>&amp;C&amp;"Arial,Regular"&amp;18Steps 3 and 5 - Apply RR Techniques and Standard SMPs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259B7-9B8C-4C71-B510-3F88C8C4ACA9}">
  <dimension ref="A1:E21"/>
  <sheetViews>
    <sheetView view="pageLayout" zoomScaleNormal="100" workbookViewId="0">
      <selection activeCell="E2" sqref="E2"/>
    </sheetView>
  </sheetViews>
  <sheetFormatPr defaultColWidth="9.1796875" defaultRowHeight="13" x14ac:dyDescent="0.25"/>
  <cols>
    <col min="1" max="1" width="4.7265625" style="75" customWidth="1"/>
    <col min="2" max="2" width="13.26953125" style="127" customWidth="1"/>
    <col min="3" max="3" width="26.7265625" style="81" customWidth="1"/>
    <col min="4" max="4" width="10.54296875" style="75" customWidth="1"/>
    <col min="5" max="5" width="40.54296875" style="75" customWidth="1"/>
    <col min="6" max="16384" width="9.1796875" style="75"/>
  </cols>
  <sheetData>
    <row r="1" spans="1:5" s="72" customFormat="1" ht="30.25" customHeight="1" x14ac:dyDescent="0.35">
      <c r="A1" s="269" t="s">
        <v>12</v>
      </c>
      <c r="B1" s="270"/>
      <c r="C1" s="69" t="s">
        <v>13</v>
      </c>
      <c r="D1" s="70" t="s">
        <v>14</v>
      </c>
      <c r="E1" s="71" t="s">
        <v>15</v>
      </c>
    </row>
    <row r="2" spans="1:5" ht="150" x14ac:dyDescent="0.25">
      <c r="A2" s="298" t="s">
        <v>77</v>
      </c>
      <c r="B2" s="123" t="s">
        <v>154</v>
      </c>
      <c r="C2" s="74" t="s">
        <v>155</v>
      </c>
      <c r="D2" s="218"/>
      <c r="E2" s="8" t="s">
        <v>156</v>
      </c>
    </row>
    <row r="3" spans="1:5" ht="151.5" x14ac:dyDescent="0.25">
      <c r="A3" s="271"/>
      <c r="B3" s="123" t="s">
        <v>157</v>
      </c>
      <c r="C3" s="74" t="s">
        <v>158</v>
      </c>
      <c r="D3" s="218"/>
      <c r="E3" s="8" t="s">
        <v>159</v>
      </c>
    </row>
    <row r="4" spans="1:5" ht="163.5" x14ac:dyDescent="0.25">
      <c r="A4" s="271"/>
      <c r="B4" s="123" t="s">
        <v>160</v>
      </c>
      <c r="C4" s="74" t="s">
        <v>161</v>
      </c>
      <c r="D4" s="218"/>
      <c r="E4" s="8" t="s">
        <v>162</v>
      </c>
    </row>
    <row r="5" spans="1:5" ht="151" x14ac:dyDescent="0.25">
      <c r="A5" s="271"/>
      <c r="B5" s="123" t="s">
        <v>163</v>
      </c>
      <c r="C5" s="74" t="s">
        <v>164</v>
      </c>
      <c r="D5" s="218"/>
      <c r="E5" s="8" t="s">
        <v>165</v>
      </c>
    </row>
    <row r="6" spans="1:5" ht="112.5" x14ac:dyDescent="0.25">
      <c r="A6" s="271" t="s">
        <v>77</v>
      </c>
      <c r="B6" s="123" t="s">
        <v>166</v>
      </c>
      <c r="C6" s="74" t="s">
        <v>167</v>
      </c>
      <c r="D6" s="218"/>
      <c r="E6" s="8" t="s">
        <v>168</v>
      </c>
    </row>
    <row r="7" spans="1:5" ht="101.5" x14ac:dyDescent="0.25">
      <c r="A7" s="271"/>
      <c r="B7" s="124" t="s">
        <v>169</v>
      </c>
      <c r="C7" s="125" t="s">
        <v>170</v>
      </c>
      <c r="D7" s="218"/>
      <c r="E7" s="8" t="s">
        <v>171</v>
      </c>
    </row>
    <row r="8" spans="1:5" ht="100" x14ac:dyDescent="0.25">
      <c r="A8" s="271"/>
      <c r="B8" s="123" t="s">
        <v>172</v>
      </c>
      <c r="C8" s="74" t="s">
        <v>173</v>
      </c>
      <c r="D8" s="218"/>
      <c r="E8" s="8" t="s">
        <v>174</v>
      </c>
    </row>
    <row r="9" spans="1:5" ht="163" x14ac:dyDescent="0.25">
      <c r="A9" s="271"/>
      <c r="B9" s="123" t="s">
        <v>175</v>
      </c>
      <c r="C9" s="74" t="s">
        <v>176</v>
      </c>
      <c r="D9" s="218"/>
      <c r="E9" s="8" t="s">
        <v>177</v>
      </c>
    </row>
    <row r="10" spans="1:5" ht="126.5" x14ac:dyDescent="0.25">
      <c r="A10" s="271"/>
      <c r="B10" s="123" t="s">
        <v>178</v>
      </c>
      <c r="C10" s="74" t="s">
        <v>179</v>
      </c>
      <c r="D10" s="218"/>
      <c r="E10" s="8" t="s">
        <v>180</v>
      </c>
    </row>
    <row r="11" spans="1:5" ht="112.5" x14ac:dyDescent="0.25">
      <c r="A11" s="271"/>
      <c r="B11" s="123" t="s">
        <v>181</v>
      </c>
      <c r="C11" s="76" t="s">
        <v>182</v>
      </c>
      <c r="D11" s="218"/>
      <c r="E11" s="8" t="s">
        <v>183</v>
      </c>
    </row>
    <row r="12" spans="1:5" ht="87.5" x14ac:dyDescent="0.25">
      <c r="A12" s="197"/>
      <c r="B12" s="123" t="s">
        <v>184</v>
      </c>
      <c r="C12" s="74" t="s">
        <v>185</v>
      </c>
      <c r="D12" s="218"/>
      <c r="E12" s="8" t="s">
        <v>186</v>
      </c>
    </row>
    <row r="13" spans="1:5" ht="63.5" x14ac:dyDescent="0.25">
      <c r="A13" s="297" t="s">
        <v>187</v>
      </c>
      <c r="B13" s="123" t="s">
        <v>188</v>
      </c>
      <c r="C13" s="74" t="s">
        <v>189</v>
      </c>
      <c r="D13" s="218"/>
      <c r="E13" s="8" t="s">
        <v>190</v>
      </c>
    </row>
    <row r="14" spans="1:5" ht="63" x14ac:dyDescent="0.25">
      <c r="A14" s="297"/>
      <c r="B14" s="123" t="s">
        <v>191</v>
      </c>
      <c r="C14" s="74" t="s">
        <v>192</v>
      </c>
      <c r="D14" s="218"/>
      <c r="E14" s="8" t="s">
        <v>193</v>
      </c>
    </row>
    <row r="15" spans="1:5" ht="50.5" x14ac:dyDescent="0.25">
      <c r="A15" s="297"/>
      <c r="B15" s="123" t="s">
        <v>194</v>
      </c>
      <c r="C15" s="74" t="s">
        <v>195</v>
      </c>
      <c r="D15" s="218"/>
      <c r="E15" s="8" t="s">
        <v>196</v>
      </c>
    </row>
    <row r="16" spans="1:5" ht="87.5" x14ac:dyDescent="0.25">
      <c r="A16" s="297"/>
      <c r="B16" s="123" t="s">
        <v>197</v>
      </c>
      <c r="C16" s="74" t="s">
        <v>198</v>
      </c>
      <c r="D16" s="218"/>
      <c r="E16" s="8" t="s">
        <v>199</v>
      </c>
    </row>
    <row r="17" spans="1:5" ht="88.5" x14ac:dyDescent="0.25">
      <c r="A17" s="297"/>
      <c r="B17" s="123" t="s">
        <v>200</v>
      </c>
      <c r="C17" s="74" t="s">
        <v>201</v>
      </c>
      <c r="D17" s="218"/>
      <c r="E17" s="8" t="s">
        <v>202</v>
      </c>
    </row>
    <row r="18" spans="1:5" ht="88.5" x14ac:dyDescent="0.25">
      <c r="A18" s="297"/>
      <c r="B18" s="123" t="s">
        <v>203</v>
      </c>
      <c r="C18" s="74" t="s">
        <v>204</v>
      </c>
      <c r="D18" s="218"/>
      <c r="E18" s="8" t="s">
        <v>205</v>
      </c>
    </row>
    <row r="19" spans="1:5" ht="75" x14ac:dyDescent="0.25">
      <c r="A19" s="297"/>
      <c r="B19" s="123" t="s">
        <v>206</v>
      </c>
      <c r="C19" s="74" t="s">
        <v>207</v>
      </c>
      <c r="D19" s="218"/>
      <c r="E19" s="8" t="s">
        <v>208</v>
      </c>
    </row>
    <row r="20" spans="1:5" ht="62.5" x14ac:dyDescent="0.25">
      <c r="A20" s="297"/>
      <c r="B20" s="123" t="s">
        <v>209</v>
      </c>
      <c r="C20" s="76" t="s">
        <v>210</v>
      </c>
      <c r="D20" s="218"/>
      <c r="E20" s="8" t="s">
        <v>211</v>
      </c>
    </row>
    <row r="21" spans="1:5" x14ac:dyDescent="0.25">
      <c r="B21" s="126"/>
      <c r="C21" s="78"/>
      <c r="D21" s="79"/>
    </row>
  </sheetData>
  <sheetProtection algorithmName="SHA-512" hashValue="8M28F3eqmsgVxnSzV0SzWpKl05w7+dlmjuupilfT6dtoewFvPpWSwqvSCGMC7UX5khPUgAcV59slrvhVHcbBuA==" saltValue="DTdzFPv2pezi2gCSF4s1hQ==" spinCount="100000" sheet="1" formatColumns="0" formatRows="0"/>
  <mergeCells count="4">
    <mergeCell ref="A1:B1"/>
    <mergeCell ref="A13:A20"/>
    <mergeCell ref="A2:A5"/>
    <mergeCell ref="A6:A11"/>
  </mergeCells>
  <pageMargins left="0.5" right="0.46130952380952384" top="0.75" bottom="0.5" header="0.3" footer="0.3"/>
  <pageSetup paperSize="278" orientation="portrait" r:id="rId1"/>
  <headerFooter>
    <oddHeader>&amp;C&amp;"Arial,Regular"&amp;15Step 3 - Evaluation of RR Techniques and Standard SMPs with RRv Capacity</oddHeader>
  </headerFooter>
  <extLst>
    <ext xmlns:x14="http://schemas.microsoft.com/office/spreadsheetml/2009/9/main" uri="{CCE6A557-97BC-4b89-ADB6-D9C93CAAB3DF}">
      <x14:dataValidations xmlns:xm="http://schemas.microsoft.com/office/excel/2006/main" count="1">
        <x14:dataValidation type="list" showInputMessage="1" showErrorMessage="1" promptTitle="Yes or No?" xr:uid="{45821ABD-C861-4E69-BA8D-A201D35BE3BD}">
          <x14:formula1>
            <xm:f>Reference!$A$55:$A$57</xm:f>
          </x14:formula1>
          <xm:sqref>D2:D20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15"/>
  <sheetViews>
    <sheetView view="pageLayout" zoomScaleNormal="100" workbookViewId="0">
      <selection activeCell="B3" sqref="B3"/>
    </sheetView>
  </sheetViews>
  <sheetFormatPr defaultColWidth="9.1796875" defaultRowHeight="12.5" x14ac:dyDescent="0.25"/>
  <cols>
    <col min="1" max="1" width="14.81640625" style="4" customWidth="1"/>
    <col min="2" max="2" width="12.54296875" style="4" bestFit="1" customWidth="1"/>
    <col min="3" max="16384" width="9.1796875" style="4"/>
  </cols>
  <sheetData>
    <row r="1" spans="1:7" ht="15" customHeight="1" x14ac:dyDescent="0.3">
      <c r="A1" s="299" t="s">
        <v>708</v>
      </c>
      <c r="B1" s="300"/>
      <c r="C1" s="300"/>
      <c r="D1" s="300"/>
      <c r="E1" s="300"/>
      <c r="F1" s="300"/>
      <c r="G1" s="300"/>
    </row>
    <row r="2" spans="1:7" ht="25" x14ac:dyDescent="0.25">
      <c r="A2" s="198" t="s">
        <v>212</v>
      </c>
      <c r="B2" s="198" t="s">
        <v>213</v>
      </c>
      <c r="C2" s="198" t="s">
        <v>214</v>
      </c>
      <c r="D2" s="12"/>
      <c r="E2" s="12"/>
      <c r="F2" s="12"/>
      <c r="G2" s="12"/>
    </row>
    <row r="3" spans="1:7" ht="15" customHeight="1" x14ac:dyDescent="0.25">
      <c r="A3" s="198" t="s">
        <v>215</v>
      </c>
      <c r="B3" s="216"/>
      <c r="C3" s="128">
        <v>0.55000000000000004</v>
      </c>
      <c r="D3" s="12"/>
      <c r="E3" s="12"/>
      <c r="F3" s="12"/>
      <c r="G3" s="12"/>
    </row>
    <row r="4" spans="1:7" ht="15" customHeight="1" x14ac:dyDescent="0.25">
      <c r="A4" s="198" t="s">
        <v>216</v>
      </c>
      <c r="B4" s="216"/>
      <c r="C4" s="128">
        <v>0.4</v>
      </c>
      <c r="D4" s="12"/>
      <c r="E4" s="12"/>
      <c r="F4" s="12"/>
      <c r="G4" s="12"/>
    </row>
    <row r="5" spans="1:7" ht="15" customHeight="1" x14ac:dyDescent="0.25">
      <c r="A5" s="198" t="s">
        <v>217</v>
      </c>
      <c r="B5" s="216"/>
      <c r="C5" s="128">
        <v>0.3</v>
      </c>
      <c r="D5" s="12"/>
      <c r="E5" s="12"/>
      <c r="F5" s="12"/>
      <c r="G5" s="12"/>
    </row>
    <row r="6" spans="1:7" ht="15" customHeight="1" x14ac:dyDescent="0.25">
      <c r="A6" s="198" t="s">
        <v>218</v>
      </c>
      <c r="B6" s="216"/>
      <c r="C6" s="128">
        <v>0.2</v>
      </c>
      <c r="D6" s="12"/>
      <c r="E6" s="12"/>
      <c r="F6" s="12"/>
      <c r="G6" s="12"/>
    </row>
    <row r="7" spans="1:7" ht="15" customHeight="1" x14ac:dyDescent="0.25">
      <c r="A7" s="198" t="s">
        <v>219</v>
      </c>
      <c r="B7" s="198">
        <f>SUM(B3:B6)</f>
        <v>0</v>
      </c>
      <c r="C7" s="12"/>
      <c r="D7" s="12"/>
      <c r="E7" s="12"/>
      <c r="F7" s="12"/>
      <c r="G7" s="12"/>
    </row>
    <row r="8" spans="1:7" ht="15" customHeight="1" x14ac:dyDescent="0.25">
      <c r="A8" s="199"/>
      <c r="B8" s="199"/>
      <c r="C8" s="12"/>
      <c r="D8" s="12"/>
      <c r="E8" s="12"/>
      <c r="F8" s="12"/>
      <c r="G8" s="12"/>
    </row>
    <row r="9" spans="1:7" ht="15" customHeight="1" x14ac:dyDescent="0.25">
      <c r="A9" s="264" t="s">
        <v>220</v>
      </c>
      <c r="B9" s="301"/>
      <c r="C9" s="301"/>
      <c r="D9" s="301"/>
      <c r="E9" s="301"/>
      <c r="F9" s="301"/>
      <c r="G9" s="301"/>
    </row>
    <row r="10" spans="1:7" ht="15" customHeight="1" x14ac:dyDescent="0.25">
      <c r="A10" s="198" t="s">
        <v>221</v>
      </c>
      <c r="B10" s="13" t="str">
        <f>IF(B7=0,"",(B3*C3+B4*C4+B5*C5+B6*C6)/B7)</f>
        <v/>
      </c>
      <c r="C10" s="193"/>
      <c r="D10" s="234"/>
      <c r="E10" s="234"/>
      <c r="F10" s="234"/>
      <c r="G10" s="234"/>
    </row>
    <row r="11" spans="1:7" ht="15" customHeight="1" x14ac:dyDescent="0.25">
      <c r="A11" s="198" t="s">
        <v>222</v>
      </c>
      <c r="B11" s="129" t="str">
        <f>'STEP 2-WQv Calculation'!C38</f>
        <v/>
      </c>
      <c r="C11" s="14" t="s">
        <v>223</v>
      </c>
      <c r="D11" s="15"/>
      <c r="E11" s="15"/>
      <c r="F11" s="15"/>
      <c r="G11" s="15"/>
    </row>
    <row r="12" spans="1:7" ht="15" customHeight="1" x14ac:dyDescent="0.25">
      <c r="A12" s="198" t="s">
        <v>224</v>
      </c>
      <c r="B12" s="129">
        <f>'STEP 2-WQv Calculation'!B5</f>
        <v>0</v>
      </c>
      <c r="C12" s="14" t="s">
        <v>58</v>
      </c>
      <c r="D12" s="12"/>
      <c r="E12" s="12"/>
      <c r="F12" s="12"/>
      <c r="G12" s="12"/>
    </row>
    <row r="13" spans="1:7" ht="15" customHeight="1" x14ac:dyDescent="0.25">
      <c r="A13" s="198" t="s">
        <v>225</v>
      </c>
      <c r="B13" s="195">
        <f>0.05+0.009*100</f>
        <v>0.95</v>
      </c>
      <c r="C13" s="14"/>
      <c r="D13" s="12"/>
      <c r="E13" s="12"/>
      <c r="F13" s="12"/>
      <c r="G13" s="12"/>
    </row>
    <row r="14" spans="1:7" ht="15" customHeight="1" x14ac:dyDescent="0.25">
      <c r="A14" s="225" t="s">
        <v>7</v>
      </c>
      <c r="B14" s="130" t="str">
        <f>IF(B10="","",ROUND((B10*B11*B12*B13)/12,3))</f>
        <v/>
      </c>
      <c r="C14" s="131" t="s">
        <v>3</v>
      </c>
      <c r="D14" s="12"/>
      <c r="E14" s="12"/>
      <c r="F14" s="12"/>
      <c r="G14" s="12"/>
    </row>
    <row r="15" spans="1:7" ht="15" customHeight="1" x14ac:dyDescent="0.25">
      <c r="A15" s="12"/>
      <c r="B15" s="212" t="str">
        <f>IF(B10="","",ROUND(B14*43560,0))</f>
        <v/>
      </c>
      <c r="C15" s="193" t="s">
        <v>2</v>
      </c>
      <c r="D15" s="12"/>
      <c r="E15" s="12"/>
      <c r="F15" s="12"/>
      <c r="G15" s="12"/>
    </row>
  </sheetData>
  <sheetProtection algorithmName="SHA-512" hashValue="dLYSTLaRf5lTf6CVTHhE8VuM+atjbfamUAmws1XnD22Pd/UnA3eIufk335pLcxjzyQqaV3kFEQ68WN62IgfqbA==" saltValue="gyqJE5Vwh/pIDwAVWXLZCw==" spinCount="100000" sheet="1" formatColumns="0" formatRows="0"/>
  <mergeCells count="3">
    <mergeCell ref="D10:G10"/>
    <mergeCell ref="A1:G1"/>
    <mergeCell ref="A9:G9"/>
  </mergeCells>
  <dataValidations count="1">
    <dataValidation type="decimal" operator="greaterThan" allowBlank="1" showInputMessage="1" showErrorMessage="1" sqref="B3:B6" xr:uid="{341F1A18-C474-485D-BC1E-FD5A61561719}">
      <formula1>0</formula1>
    </dataValidation>
  </dataValidations>
  <pageMargins left="1.2" right="1.2" top="1" bottom="0.75" header="0.3" footer="0.3"/>
  <pageSetup paperSize="278" orientation="portrait" r:id="rId1"/>
  <headerFooter>
    <oddHeader>&amp;C&amp;"Arial,Regular"&amp;18Step 4 - Calcuate Minimum RRv Required</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dimension ref="A1:M142"/>
  <sheetViews>
    <sheetView tabSelected="1" view="pageLayout" zoomScaleNormal="100" workbookViewId="0">
      <selection activeCell="J11" sqref="J11"/>
    </sheetView>
  </sheetViews>
  <sheetFormatPr defaultColWidth="9.1796875" defaultRowHeight="12.5" x14ac:dyDescent="0.35"/>
  <cols>
    <col min="1" max="1" width="12.7265625" style="12" customWidth="1"/>
    <col min="2" max="2" width="12.453125" style="12" customWidth="1"/>
    <col min="3" max="3" width="12.26953125" style="12" customWidth="1"/>
    <col min="4" max="5" width="10.7265625" style="12" customWidth="1"/>
    <col min="6" max="6" width="7.54296875" style="12" customWidth="1"/>
    <col min="7" max="7" width="12.81640625" style="12" customWidth="1"/>
    <col min="8" max="8" width="15.54296875" style="12" customWidth="1"/>
    <col min="9" max="16384" width="9.1796875" style="12"/>
  </cols>
  <sheetData>
    <row r="1" spans="1:13" ht="26" x14ac:dyDescent="0.35">
      <c r="A1" s="63" t="s">
        <v>56</v>
      </c>
      <c r="B1" s="225" t="str">
        <f>IF('STEP 2-WQv Calculation'!$B$4="","",'STEP 2-WQv Calculation'!$B$4)</f>
        <v/>
      </c>
      <c r="C1" s="203" t="s">
        <v>60</v>
      </c>
      <c r="D1" s="218"/>
      <c r="I1" s="255" t="s">
        <v>219</v>
      </c>
      <c r="J1" s="256"/>
      <c r="K1" s="49">
        <f>SUM(C12,C26,C40,C54,C68,C82,C96,C110,C124)</f>
        <v>0</v>
      </c>
      <c r="L1" s="12" t="s">
        <v>223</v>
      </c>
    </row>
    <row r="2" spans="1:13" ht="13" x14ac:dyDescent="0.35">
      <c r="A2" s="241" t="s">
        <v>226</v>
      </c>
      <c r="B2" s="241"/>
      <c r="C2" s="241"/>
      <c r="D2" s="241"/>
      <c r="E2" s="241"/>
      <c r="F2" s="241"/>
      <c r="G2" s="241"/>
      <c r="H2" s="241"/>
      <c r="I2" s="255" t="s">
        <v>227</v>
      </c>
      <c r="J2" s="256"/>
      <c r="K2" s="28">
        <f>SUM(C16,C30,C44,C58,C72,C86,C100,C114,C128)</f>
        <v>0</v>
      </c>
      <c r="L2" s="12" t="s">
        <v>2</v>
      </c>
    </row>
    <row r="3" spans="1:13" s="19" customFormat="1" ht="13" hidden="1" x14ac:dyDescent="0.35">
      <c r="A3" s="241"/>
      <c r="B3" s="241"/>
      <c r="C3" s="241"/>
      <c r="D3" s="241"/>
      <c r="E3" s="241"/>
      <c r="F3" s="241"/>
      <c r="G3" s="241"/>
      <c r="H3" s="241"/>
    </row>
    <row r="4" spans="1:13" ht="13" hidden="1" x14ac:dyDescent="0.35">
      <c r="A4" s="64"/>
      <c r="B4" s="20"/>
      <c r="C4" s="207"/>
      <c r="D4" s="257"/>
      <c r="E4" s="258"/>
      <c r="F4" s="258"/>
      <c r="G4" s="258"/>
      <c r="H4" s="259"/>
    </row>
    <row r="5" spans="1:13" ht="13" x14ac:dyDescent="0.35">
      <c r="A5" s="242" t="s">
        <v>228</v>
      </c>
      <c r="B5" s="243"/>
      <c r="C5" s="243"/>
      <c r="D5" s="243"/>
      <c r="E5" s="243"/>
      <c r="F5" s="244"/>
      <c r="G5" s="218"/>
      <c r="H5" s="65" t="str">
        <f>IF(G5="NO","Does not meet design criteria","")</f>
        <v/>
      </c>
    </row>
    <row r="6" spans="1:13" ht="30.25" customHeight="1" x14ac:dyDescent="0.35">
      <c r="A6" s="245" t="s">
        <v>229</v>
      </c>
      <c r="B6" s="245"/>
      <c r="C6" s="245"/>
      <c r="D6" s="245"/>
      <c r="E6" s="245"/>
      <c r="F6" s="245"/>
      <c r="G6" s="218"/>
      <c r="H6" s="213" t="str">
        <f>IF(G6="NO","Does not meet design criteria","")</f>
        <v/>
      </c>
    </row>
    <row r="7" spans="1:13" x14ac:dyDescent="0.35">
      <c r="A7" s="245" t="s">
        <v>230</v>
      </c>
      <c r="B7" s="245"/>
      <c r="C7" s="245"/>
      <c r="D7" s="245"/>
      <c r="E7" s="245"/>
      <c r="F7" s="245"/>
      <c r="G7" s="218"/>
      <c r="H7" s="213" t="str">
        <f>IF(G7="YES","Does not meet design criteria","")</f>
        <v/>
      </c>
      <c r="I7" s="234"/>
      <c r="J7" s="234"/>
      <c r="K7" s="234"/>
      <c r="L7" s="234"/>
      <c r="M7" s="234"/>
    </row>
    <row r="8" spans="1:13" ht="30.25" customHeight="1" x14ac:dyDescent="0.35">
      <c r="A8" s="245" t="s">
        <v>231</v>
      </c>
      <c r="B8" s="245"/>
      <c r="C8" s="245"/>
      <c r="D8" s="245"/>
      <c r="E8" s="245"/>
      <c r="F8" s="245"/>
      <c r="G8" s="218"/>
      <c r="H8" s="213" t="str">
        <f>IF(G8="YES","Does not meet design criteria","")</f>
        <v/>
      </c>
    </row>
    <row r="9" spans="1:13" s="4" customFormat="1" ht="15" customHeight="1" x14ac:dyDescent="0.3">
      <c r="A9" s="246" t="s">
        <v>232</v>
      </c>
      <c r="B9" s="247"/>
      <c r="C9" s="247"/>
      <c r="D9" s="247"/>
      <c r="E9" s="247"/>
      <c r="F9" s="247"/>
      <c r="G9" s="247"/>
      <c r="H9" s="247"/>
    </row>
    <row r="10" spans="1:13" s="4" customFormat="1" ht="44.5" customHeight="1" x14ac:dyDescent="0.3">
      <c r="A10" s="248"/>
      <c r="B10" s="249"/>
      <c r="C10" s="205" t="s">
        <v>233</v>
      </c>
      <c r="D10" s="200" t="s">
        <v>234</v>
      </c>
      <c r="E10" s="205" t="s">
        <v>235</v>
      </c>
      <c r="F10" s="205" t="s">
        <v>64</v>
      </c>
      <c r="G10" s="205" t="s">
        <v>236</v>
      </c>
      <c r="H10" s="206" t="s">
        <v>237</v>
      </c>
    </row>
    <row r="11" spans="1:13" s="4" customFormat="1" ht="14.5" customHeight="1" x14ac:dyDescent="0.25">
      <c r="A11" s="250" t="s">
        <v>68</v>
      </c>
      <c r="B11" s="251"/>
      <c r="C11" s="18" t="str">
        <f>'STEP 2-WQv Calculation'!$B$38</f>
        <v/>
      </c>
      <c r="D11" s="18" t="str">
        <f>'STEP 2-WQv Calculation'!$C$38</f>
        <v/>
      </c>
      <c r="E11" s="66" t="str">
        <f>'STEP 2-WQv Calculation'!$D$38</f>
        <v/>
      </c>
      <c r="F11" s="18" t="str">
        <f>'STEP 2-WQv Calculation'!$E$38</f>
        <v/>
      </c>
      <c r="G11" s="42" t="str">
        <f>'STEP 2-WQv Calculation'!$F$38</f>
        <v/>
      </c>
      <c r="H11" s="67">
        <f>'STEP 2-WQv Calculation'!$B$5</f>
        <v>0</v>
      </c>
    </row>
    <row r="12" spans="1:13" s="4" customFormat="1" ht="15" customHeight="1" x14ac:dyDescent="0.25">
      <c r="A12" s="231" t="s">
        <v>238</v>
      </c>
      <c r="B12" s="232"/>
      <c r="C12" s="3" t="str">
        <f>IF($D1="","",(LOOKUP($D1,'STEP 2-WQv Calculation'!$A$8:$A$37,'STEP 2-WQv Calculation'!$B$8:$B$37)))</f>
        <v/>
      </c>
      <c r="D12" s="252"/>
      <c r="E12" s="253"/>
      <c r="F12" s="253"/>
      <c r="G12" s="253"/>
      <c r="H12" s="254"/>
    </row>
    <row r="13" spans="1:13" s="4" customFormat="1" x14ac:dyDescent="0.25">
      <c r="A13" s="231" t="s">
        <v>239</v>
      </c>
      <c r="B13" s="232"/>
      <c r="C13" s="3" t="e">
        <f>C11-C12</f>
        <v>#VALUE!</v>
      </c>
      <c r="D13" s="3">
        <f>SUM(D11:D12)</f>
        <v>0</v>
      </c>
      <c r="E13" s="54"/>
      <c r="F13" s="3" t="str">
        <f>F11</f>
        <v/>
      </c>
      <c r="G13" s="217" t="e">
        <f>ROUND(((C13*F13*H13)/12)*43560,0)</f>
        <v>#VALUE!</v>
      </c>
      <c r="H13" s="68">
        <f>H11</f>
        <v>0</v>
      </c>
    </row>
    <row r="14" spans="1:13" x14ac:dyDescent="0.35">
      <c r="A14" s="233"/>
      <c r="B14" s="234"/>
      <c r="C14" s="234"/>
      <c r="D14" s="234"/>
      <c r="E14" s="234"/>
      <c r="F14" s="234"/>
      <c r="G14" s="234"/>
      <c r="H14" s="235"/>
    </row>
    <row r="15" spans="1:13" ht="15" customHeight="1" x14ac:dyDescent="0.35">
      <c r="A15" s="236" t="s">
        <v>240</v>
      </c>
      <c r="B15" s="237"/>
      <c r="C15" s="237"/>
      <c r="D15" s="237"/>
      <c r="E15" s="237"/>
      <c r="F15" s="237"/>
      <c r="G15" s="237"/>
      <c r="H15" s="238"/>
    </row>
    <row r="16" spans="1:13" ht="13" x14ac:dyDescent="0.35">
      <c r="A16" s="239" t="s">
        <v>241</v>
      </c>
      <c r="B16" s="239"/>
      <c r="C16" s="9" t="str">
        <f>IF(D1="","",(IF(C12="",0,IF(AND(C11=0,D11=0),0,IF(G5="NO",0,IF(G6="NO",0,IF(G7="YES",0,IF(G8="YES",0,G11-G13))))))*IF(COUNTBLANK(G5:G8)&gt;0,0,1)))</f>
        <v/>
      </c>
      <c r="D16" s="240" t="s">
        <v>2</v>
      </c>
      <c r="E16" s="240"/>
      <c r="F16" s="240"/>
      <c r="G16" s="240"/>
      <c r="H16" s="240"/>
    </row>
    <row r="17" spans="1:8" ht="26" x14ac:dyDescent="0.35">
      <c r="A17" s="63" t="s">
        <v>56</v>
      </c>
      <c r="B17" s="225" t="str">
        <f>IF('STEP 2-WQv Calculation'!$B$4="","",'STEP 2-WQv Calculation'!$B$4)</f>
        <v/>
      </c>
      <c r="C17" s="203" t="s">
        <v>60</v>
      </c>
      <c r="D17" s="218"/>
    </row>
    <row r="18" spans="1:8" ht="13.15" customHeight="1" x14ac:dyDescent="0.35">
      <c r="A18" s="241" t="s">
        <v>226</v>
      </c>
      <c r="B18" s="241"/>
      <c r="C18" s="241"/>
      <c r="D18" s="241"/>
      <c r="E18" s="241"/>
      <c r="F18" s="241"/>
      <c r="G18" s="241"/>
      <c r="H18" s="241"/>
    </row>
    <row r="19" spans="1:8" ht="13.15" customHeight="1" x14ac:dyDescent="0.35">
      <c r="A19" s="242" t="s">
        <v>228</v>
      </c>
      <c r="B19" s="243"/>
      <c r="C19" s="243"/>
      <c r="D19" s="243"/>
      <c r="E19" s="243"/>
      <c r="F19" s="244"/>
      <c r="G19" s="218"/>
      <c r="H19" s="65" t="str">
        <f>IF(G19="NO","Does not meet design criteria","")</f>
        <v/>
      </c>
    </row>
    <row r="20" spans="1:8" ht="12.75" customHeight="1" x14ac:dyDescent="0.35">
      <c r="A20" s="245" t="s">
        <v>229</v>
      </c>
      <c r="B20" s="245"/>
      <c r="C20" s="245"/>
      <c r="D20" s="245"/>
      <c r="E20" s="245"/>
      <c r="F20" s="245"/>
      <c r="G20" s="218"/>
      <c r="H20" s="213" t="str">
        <f>IF(G20="NO","Does not meet design criteria","")</f>
        <v/>
      </c>
    </row>
    <row r="21" spans="1:8" ht="13.15" customHeight="1" x14ac:dyDescent="0.35">
      <c r="A21" s="245" t="s">
        <v>230</v>
      </c>
      <c r="B21" s="245"/>
      <c r="C21" s="245"/>
      <c r="D21" s="245"/>
      <c r="E21" s="245"/>
      <c r="F21" s="245"/>
      <c r="G21" s="218"/>
      <c r="H21" s="213" t="str">
        <f>IF(G21="YES","Does not meet design criteria","")</f>
        <v/>
      </c>
    </row>
    <row r="22" spans="1:8" ht="13.15" customHeight="1" x14ac:dyDescent="0.35">
      <c r="A22" s="245" t="s">
        <v>231</v>
      </c>
      <c r="B22" s="245"/>
      <c r="C22" s="245"/>
      <c r="D22" s="245"/>
      <c r="E22" s="245"/>
      <c r="F22" s="245"/>
      <c r="G22" s="218"/>
      <c r="H22" s="213" t="str">
        <f>IF(G22="YES","Does not meet design criteria","")</f>
        <v/>
      </c>
    </row>
    <row r="23" spans="1:8" ht="13.15" customHeight="1" x14ac:dyDescent="0.3">
      <c r="A23" s="246" t="s">
        <v>232</v>
      </c>
      <c r="B23" s="247"/>
      <c r="C23" s="247"/>
      <c r="D23" s="247"/>
      <c r="E23" s="247"/>
      <c r="F23" s="247"/>
      <c r="G23" s="247"/>
      <c r="H23" s="247"/>
    </row>
    <row r="24" spans="1:8" ht="13.15" customHeight="1" x14ac:dyDescent="0.3">
      <c r="A24" s="248"/>
      <c r="B24" s="249"/>
      <c r="C24" s="205" t="s">
        <v>233</v>
      </c>
      <c r="D24" s="200" t="s">
        <v>234</v>
      </c>
      <c r="E24" s="205" t="s">
        <v>235</v>
      </c>
      <c r="F24" s="205" t="s">
        <v>64</v>
      </c>
      <c r="G24" s="205" t="s">
        <v>236</v>
      </c>
      <c r="H24" s="206" t="s">
        <v>237</v>
      </c>
    </row>
    <row r="25" spans="1:8" ht="13.15" customHeight="1" x14ac:dyDescent="0.25">
      <c r="A25" s="250" t="s">
        <v>68</v>
      </c>
      <c r="B25" s="251"/>
      <c r="C25" s="18" t="str">
        <f>'STEP 2-WQv Calculation'!$B$38</f>
        <v/>
      </c>
      <c r="D25" s="18" t="str">
        <f>'STEP 2-WQv Calculation'!$C$38</f>
        <v/>
      </c>
      <c r="E25" s="66" t="str">
        <f>'STEP 2-WQv Calculation'!$D$38</f>
        <v/>
      </c>
      <c r="F25" s="18" t="str">
        <f>'STEP 2-WQv Calculation'!$E$38</f>
        <v/>
      </c>
      <c r="G25" s="42" t="str">
        <f>'STEP 2-WQv Calculation'!$F$38</f>
        <v/>
      </c>
      <c r="H25" s="67">
        <f>'STEP 2-WQv Calculation'!$B$5</f>
        <v>0</v>
      </c>
    </row>
    <row r="26" spans="1:8" x14ac:dyDescent="0.35">
      <c r="A26" s="231" t="s">
        <v>238</v>
      </c>
      <c r="B26" s="232"/>
      <c r="C26" s="3" t="str">
        <f>IF($D17="","",(LOOKUP($D17,'STEP 2-WQv Calculation'!$A$8:$A$37,'STEP 2-WQv Calculation'!$B$8:$B$37)))</f>
        <v/>
      </c>
      <c r="D26" s="252"/>
      <c r="E26" s="253"/>
      <c r="F26" s="253"/>
      <c r="G26" s="253"/>
      <c r="H26" s="254"/>
    </row>
    <row r="27" spans="1:8" ht="13.15" customHeight="1" x14ac:dyDescent="0.25">
      <c r="A27" s="231" t="s">
        <v>239</v>
      </c>
      <c r="B27" s="232"/>
      <c r="C27" s="3" t="e">
        <f>C25-C26</f>
        <v>#VALUE!</v>
      </c>
      <c r="D27" s="3">
        <f>SUM(D25:D26)</f>
        <v>0</v>
      </c>
      <c r="E27" s="54"/>
      <c r="F27" s="3" t="str">
        <f>F25</f>
        <v/>
      </c>
      <c r="G27" s="217" t="e">
        <f>ROUND(((C27*F27*H27)/12)*43560,0)</f>
        <v>#VALUE!</v>
      </c>
      <c r="H27" s="68">
        <f>H25</f>
        <v>0</v>
      </c>
    </row>
    <row r="28" spans="1:8" x14ac:dyDescent="0.35">
      <c r="A28" s="233"/>
      <c r="B28" s="234"/>
      <c r="C28" s="234"/>
      <c r="D28" s="234"/>
      <c r="E28" s="234"/>
      <c r="F28" s="234"/>
      <c r="G28" s="234"/>
      <c r="H28" s="235"/>
    </row>
    <row r="29" spans="1:8" ht="13.15" customHeight="1" x14ac:dyDescent="0.35">
      <c r="A29" s="236" t="s">
        <v>240</v>
      </c>
      <c r="B29" s="237"/>
      <c r="C29" s="237"/>
      <c r="D29" s="237"/>
      <c r="E29" s="237"/>
      <c r="F29" s="237"/>
      <c r="G29" s="237"/>
      <c r="H29" s="238"/>
    </row>
    <row r="30" spans="1:8" ht="12.75" customHeight="1" x14ac:dyDescent="0.35">
      <c r="A30" s="239" t="s">
        <v>241</v>
      </c>
      <c r="B30" s="239"/>
      <c r="C30" s="9" t="str">
        <f>IF(D17="","",(IF(C26="",0,IF(AND(C25=0,D25=0),0,IF(G19="NO",0,IF(G20="NO",0,IF(G21="YES",0,IF(G22="YES",0,G25-G27))))))*IF(COUNTBLANK(G19:G22)&gt;0,0,1)))</f>
        <v/>
      </c>
      <c r="D30" s="240" t="s">
        <v>2</v>
      </c>
      <c r="E30" s="240"/>
      <c r="F30" s="240"/>
      <c r="G30" s="240"/>
      <c r="H30" s="240"/>
    </row>
    <row r="31" spans="1:8" ht="26" x14ac:dyDescent="0.35">
      <c r="A31" s="63" t="s">
        <v>56</v>
      </c>
      <c r="B31" s="225" t="str">
        <f>IF('STEP 2-WQv Calculation'!$B$4="","",'STEP 2-WQv Calculation'!$B$4)</f>
        <v/>
      </c>
      <c r="C31" s="203" t="s">
        <v>60</v>
      </c>
      <c r="D31" s="218"/>
    </row>
    <row r="32" spans="1:8" ht="13.15" customHeight="1" x14ac:dyDescent="0.35">
      <c r="A32" s="241" t="s">
        <v>226</v>
      </c>
      <c r="B32" s="241"/>
      <c r="C32" s="241"/>
      <c r="D32" s="241"/>
      <c r="E32" s="241"/>
      <c r="F32" s="241"/>
      <c r="G32" s="241"/>
      <c r="H32" s="241"/>
    </row>
    <row r="33" spans="1:8" ht="13.15" customHeight="1" x14ac:dyDescent="0.35">
      <c r="A33" s="242" t="s">
        <v>228</v>
      </c>
      <c r="B33" s="243"/>
      <c r="C33" s="243"/>
      <c r="D33" s="243"/>
      <c r="E33" s="243"/>
      <c r="F33" s="244"/>
      <c r="G33" s="218"/>
      <c r="H33" s="65" t="str">
        <f>IF(G33="NO","Does not meet design criteria","")</f>
        <v/>
      </c>
    </row>
    <row r="34" spans="1:8" x14ac:dyDescent="0.35">
      <c r="A34" s="245" t="s">
        <v>229</v>
      </c>
      <c r="B34" s="245"/>
      <c r="C34" s="245"/>
      <c r="D34" s="245"/>
      <c r="E34" s="245"/>
      <c r="F34" s="245"/>
      <c r="G34" s="218"/>
      <c r="H34" s="213" t="str">
        <f>IF(G34="NO","Does not meet design criteria","")</f>
        <v/>
      </c>
    </row>
    <row r="35" spans="1:8" ht="13.15" customHeight="1" x14ac:dyDescent="0.35">
      <c r="A35" s="245" t="s">
        <v>230</v>
      </c>
      <c r="B35" s="245"/>
      <c r="C35" s="245"/>
      <c r="D35" s="245"/>
      <c r="E35" s="245"/>
      <c r="F35" s="245"/>
      <c r="G35" s="218"/>
      <c r="H35" s="213" t="str">
        <f>IF(G35="YES","Does not meet design criteria","")</f>
        <v/>
      </c>
    </row>
    <row r="36" spans="1:8" ht="13.15" customHeight="1" x14ac:dyDescent="0.35">
      <c r="A36" s="245" t="s">
        <v>231</v>
      </c>
      <c r="B36" s="245"/>
      <c r="C36" s="245"/>
      <c r="D36" s="245"/>
      <c r="E36" s="245"/>
      <c r="F36" s="245"/>
      <c r="G36" s="218"/>
      <c r="H36" s="213" t="str">
        <f>IF(G36="YES","Does not meet design criteria","")</f>
        <v/>
      </c>
    </row>
    <row r="37" spans="1:8" ht="13.15" customHeight="1" x14ac:dyDescent="0.3">
      <c r="A37" s="246" t="s">
        <v>232</v>
      </c>
      <c r="B37" s="247"/>
      <c r="C37" s="247"/>
      <c r="D37" s="247"/>
      <c r="E37" s="247"/>
      <c r="F37" s="247"/>
      <c r="G37" s="247"/>
      <c r="H37" s="247"/>
    </row>
    <row r="38" spans="1:8" ht="13.15" customHeight="1" x14ac:dyDescent="0.3">
      <c r="A38" s="248"/>
      <c r="B38" s="249"/>
      <c r="C38" s="205" t="s">
        <v>233</v>
      </c>
      <c r="D38" s="200" t="s">
        <v>234</v>
      </c>
      <c r="E38" s="205" t="s">
        <v>235</v>
      </c>
      <c r="F38" s="205" t="s">
        <v>64</v>
      </c>
      <c r="G38" s="205" t="s">
        <v>236</v>
      </c>
      <c r="H38" s="206" t="s">
        <v>237</v>
      </c>
    </row>
    <row r="39" spans="1:8" ht="13.15" customHeight="1" x14ac:dyDescent="0.25">
      <c r="A39" s="250" t="s">
        <v>68</v>
      </c>
      <c r="B39" s="251"/>
      <c r="C39" s="18" t="str">
        <f>'STEP 2-WQv Calculation'!$B$38</f>
        <v/>
      </c>
      <c r="D39" s="18" t="str">
        <f>'STEP 2-WQv Calculation'!$C$38</f>
        <v/>
      </c>
      <c r="E39" s="66" t="str">
        <f>'STEP 2-WQv Calculation'!$D$38</f>
        <v/>
      </c>
      <c r="F39" s="18" t="str">
        <f>'STEP 2-WQv Calculation'!$E$38</f>
        <v/>
      </c>
      <c r="G39" s="42" t="str">
        <f>'STEP 2-WQv Calculation'!$F$38</f>
        <v/>
      </c>
      <c r="H39" s="67">
        <f>'STEP 2-WQv Calculation'!$B$5</f>
        <v>0</v>
      </c>
    </row>
    <row r="40" spans="1:8" x14ac:dyDescent="0.35">
      <c r="A40" s="231" t="s">
        <v>238</v>
      </c>
      <c r="B40" s="232"/>
      <c r="C40" s="3" t="str">
        <f>IF($D31="","",(LOOKUP($D31,'STEP 2-WQv Calculation'!$A$8:$A$37,'STEP 2-WQv Calculation'!$B$8:$B$37)))</f>
        <v/>
      </c>
      <c r="D40" s="252"/>
      <c r="E40" s="253"/>
      <c r="F40" s="253"/>
      <c r="G40" s="253"/>
      <c r="H40" s="254"/>
    </row>
    <row r="41" spans="1:8" ht="13.15" customHeight="1" x14ac:dyDescent="0.25">
      <c r="A41" s="231" t="s">
        <v>239</v>
      </c>
      <c r="B41" s="232"/>
      <c r="C41" s="3" t="e">
        <f>C39-C40</f>
        <v>#VALUE!</v>
      </c>
      <c r="D41" s="3">
        <f>SUM(D39:D40)</f>
        <v>0</v>
      </c>
      <c r="E41" s="54"/>
      <c r="F41" s="3" t="str">
        <f>F39</f>
        <v/>
      </c>
      <c r="G41" s="217" t="e">
        <f>ROUND(((C41*F41*H41)/12)*43560,0)</f>
        <v>#VALUE!</v>
      </c>
      <c r="H41" s="68">
        <f>H39</f>
        <v>0</v>
      </c>
    </row>
    <row r="42" spans="1:8" x14ac:dyDescent="0.35">
      <c r="A42" s="233"/>
      <c r="B42" s="234"/>
      <c r="C42" s="234"/>
      <c r="D42" s="234"/>
      <c r="E42" s="234"/>
      <c r="F42" s="234"/>
      <c r="G42" s="234"/>
      <c r="H42" s="235"/>
    </row>
    <row r="43" spans="1:8" ht="13.15" customHeight="1" x14ac:dyDescent="0.35">
      <c r="A43" s="236" t="s">
        <v>240</v>
      </c>
      <c r="B43" s="237"/>
      <c r="C43" s="237"/>
      <c r="D43" s="237"/>
      <c r="E43" s="237"/>
      <c r="F43" s="237"/>
      <c r="G43" s="237"/>
      <c r="H43" s="238"/>
    </row>
    <row r="44" spans="1:8" ht="13" x14ac:dyDescent="0.35">
      <c r="A44" s="239" t="s">
        <v>241</v>
      </c>
      <c r="B44" s="239"/>
      <c r="C44" s="9" t="str">
        <f>IF(D31="","",(IF(C40="",0,IF(AND(C39=0,D39=0),0,IF(G33="NO",0,IF(G34="NO",0,IF(G35="YES",0,IF(G36="YES",0,G39-G41))))))*IF(COUNTBLANK(G33:G36)&gt;0,0,1)))</f>
        <v/>
      </c>
      <c r="D44" s="240" t="s">
        <v>2</v>
      </c>
      <c r="E44" s="240"/>
      <c r="F44" s="240"/>
      <c r="G44" s="240"/>
      <c r="H44" s="240"/>
    </row>
    <row r="45" spans="1:8" ht="26" x14ac:dyDescent="0.35">
      <c r="A45" s="63" t="s">
        <v>56</v>
      </c>
      <c r="B45" s="225" t="str">
        <f>IF('STEP 2-WQv Calculation'!$B$4="","",'STEP 2-WQv Calculation'!$B$4)</f>
        <v/>
      </c>
      <c r="C45" s="203" t="s">
        <v>60</v>
      </c>
      <c r="D45" s="218"/>
    </row>
    <row r="46" spans="1:8" ht="13.15" customHeight="1" x14ac:dyDescent="0.35">
      <c r="A46" s="241" t="s">
        <v>226</v>
      </c>
      <c r="B46" s="241"/>
      <c r="C46" s="241"/>
      <c r="D46" s="241"/>
      <c r="E46" s="241"/>
      <c r="F46" s="241"/>
      <c r="G46" s="241"/>
      <c r="H46" s="241"/>
    </row>
    <row r="47" spans="1:8" ht="13.15" customHeight="1" x14ac:dyDescent="0.35">
      <c r="A47" s="242" t="s">
        <v>228</v>
      </c>
      <c r="B47" s="243"/>
      <c r="C47" s="243"/>
      <c r="D47" s="243"/>
      <c r="E47" s="243"/>
      <c r="F47" s="244"/>
      <c r="G47" s="218"/>
      <c r="H47" s="65" t="str">
        <f>IF(G47="NO","Does not meet design criteria","")</f>
        <v/>
      </c>
    </row>
    <row r="48" spans="1:8" x14ac:dyDescent="0.35">
      <c r="A48" s="245" t="s">
        <v>229</v>
      </c>
      <c r="B48" s="245"/>
      <c r="C48" s="245"/>
      <c r="D48" s="245"/>
      <c r="E48" s="245"/>
      <c r="F48" s="245"/>
      <c r="G48" s="218"/>
      <c r="H48" s="213" t="str">
        <f>IF(G48="NO","Does not meet design criteria","")</f>
        <v/>
      </c>
    </row>
    <row r="49" spans="1:8" ht="13.15" customHeight="1" x14ac:dyDescent="0.35">
      <c r="A49" s="245" t="s">
        <v>230</v>
      </c>
      <c r="B49" s="245"/>
      <c r="C49" s="245"/>
      <c r="D49" s="245"/>
      <c r="E49" s="245"/>
      <c r="F49" s="245"/>
      <c r="G49" s="218"/>
      <c r="H49" s="213" t="str">
        <f>IF(G49="YES","Does not meet design criteria","")</f>
        <v/>
      </c>
    </row>
    <row r="50" spans="1:8" ht="13.15" customHeight="1" x14ac:dyDescent="0.35">
      <c r="A50" s="245" t="s">
        <v>231</v>
      </c>
      <c r="B50" s="245"/>
      <c r="C50" s="245"/>
      <c r="D50" s="245"/>
      <c r="E50" s="245"/>
      <c r="F50" s="245"/>
      <c r="G50" s="218"/>
      <c r="H50" s="213" t="str">
        <f>IF(G50="YES","Does not meet design criteria","")</f>
        <v/>
      </c>
    </row>
    <row r="51" spans="1:8" ht="13.15" customHeight="1" x14ac:dyDescent="0.3">
      <c r="A51" s="246" t="s">
        <v>232</v>
      </c>
      <c r="B51" s="247"/>
      <c r="C51" s="247"/>
      <c r="D51" s="247"/>
      <c r="E51" s="247"/>
      <c r="F51" s="247"/>
      <c r="G51" s="247"/>
      <c r="H51" s="247"/>
    </row>
    <row r="52" spans="1:8" ht="13.15" customHeight="1" x14ac:dyDescent="0.3">
      <c r="A52" s="248"/>
      <c r="B52" s="249"/>
      <c r="C52" s="205" t="s">
        <v>233</v>
      </c>
      <c r="D52" s="200" t="s">
        <v>234</v>
      </c>
      <c r="E52" s="205" t="s">
        <v>235</v>
      </c>
      <c r="F52" s="205" t="s">
        <v>64</v>
      </c>
      <c r="G52" s="205" t="s">
        <v>236</v>
      </c>
      <c r="H52" s="206" t="s">
        <v>237</v>
      </c>
    </row>
    <row r="53" spans="1:8" ht="13.15" customHeight="1" x14ac:dyDescent="0.25">
      <c r="A53" s="250" t="s">
        <v>68</v>
      </c>
      <c r="B53" s="251"/>
      <c r="C53" s="18" t="str">
        <f>'STEP 2-WQv Calculation'!$B$38</f>
        <v/>
      </c>
      <c r="D53" s="18" t="str">
        <f>'STEP 2-WQv Calculation'!$C$38</f>
        <v/>
      </c>
      <c r="E53" s="66" t="str">
        <f>'STEP 2-WQv Calculation'!$D$38</f>
        <v/>
      </c>
      <c r="F53" s="18" t="str">
        <f>'STEP 2-WQv Calculation'!$E$38</f>
        <v/>
      </c>
      <c r="G53" s="42" t="str">
        <f>'STEP 2-WQv Calculation'!$F$38</f>
        <v/>
      </c>
      <c r="H53" s="67">
        <f>'STEP 2-WQv Calculation'!$B$5</f>
        <v>0</v>
      </c>
    </row>
    <row r="54" spans="1:8" x14ac:dyDescent="0.35">
      <c r="A54" s="231" t="s">
        <v>242</v>
      </c>
      <c r="B54" s="232"/>
      <c r="C54" s="3" t="str">
        <f>IF($D45="","",(LOOKUP($D45,'STEP 2-WQv Calculation'!$A$8:$A$37,'STEP 2-WQv Calculation'!$B$8:$B$37)))</f>
        <v/>
      </c>
      <c r="D54" s="252"/>
      <c r="E54" s="253"/>
      <c r="F54" s="253"/>
      <c r="G54" s="253"/>
      <c r="H54" s="254"/>
    </row>
    <row r="55" spans="1:8" ht="13.15" customHeight="1" x14ac:dyDescent="0.25">
      <c r="A55" s="231" t="s">
        <v>239</v>
      </c>
      <c r="B55" s="232"/>
      <c r="C55" s="3" t="e">
        <f>C53-C54</f>
        <v>#VALUE!</v>
      </c>
      <c r="D55" s="3">
        <f>SUM(D53:D54)</f>
        <v>0</v>
      </c>
      <c r="E55" s="54"/>
      <c r="F55" s="3" t="str">
        <f>F53</f>
        <v/>
      </c>
      <c r="G55" s="217" t="e">
        <f>ROUND(((C55*F55*H55)/12)*43560,0)</f>
        <v>#VALUE!</v>
      </c>
      <c r="H55" s="68">
        <f>H53</f>
        <v>0</v>
      </c>
    </row>
    <row r="56" spans="1:8" x14ac:dyDescent="0.35">
      <c r="A56" s="233"/>
      <c r="B56" s="234"/>
      <c r="C56" s="234"/>
      <c r="D56" s="234"/>
      <c r="E56" s="234"/>
      <c r="F56" s="234"/>
      <c r="G56" s="234"/>
      <c r="H56" s="235"/>
    </row>
    <row r="57" spans="1:8" ht="13.15" customHeight="1" x14ac:dyDescent="0.35">
      <c r="A57" s="236" t="s">
        <v>240</v>
      </c>
      <c r="B57" s="237"/>
      <c r="C57" s="237"/>
      <c r="D57" s="237"/>
      <c r="E57" s="237"/>
      <c r="F57" s="237"/>
      <c r="G57" s="237"/>
      <c r="H57" s="238"/>
    </row>
    <row r="58" spans="1:8" ht="13" x14ac:dyDescent="0.35">
      <c r="A58" s="239" t="s">
        <v>241</v>
      </c>
      <c r="B58" s="239"/>
      <c r="C58" s="9" t="str">
        <f>IF(D45="","",(IF(C54="",0,IF(AND(C53=0,D53=0),0,IF(G47="NO",0,IF(G48="NO",0,IF(G49="YES",0,IF(G50="YES",0,G53-G55))))))*IF(COUNTBLANK(G47:G50)&gt;0,0,1)))</f>
        <v/>
      </c>
      <c r="D58" s="240" t="s">
        <v>2</v>
      </c>
      <c r="E58" s="240"/>
      <c r="F58" s="240"/>
      <c r="G58" s="240"/>
      <c r="H58" s="240"/>
    </row>
    <row r="59" spans="1:8" ht="26" x14ac:dyDescent="0.35">
      <c r="A59" s="63" t="s">
        <v>56</v>
      </c>
      <c r="B59" s="225" t="str">
        <f>IF('STEP 2-WQv Calculation'!$B$4="","",'STEP 2-WQv Calculation'!$B$4)</f>
        <v/>
      </c>
      <c r="C59" s="203" t="s">
        <v>60</v>
      </c>
      <c r="D59" s="218"/>
    </row>
    <row r="60" spans="1:8" ht="13.15" customHeight="1" x14ac:dyDescent="0.35">
      <c r="A60" s="241" t="s">
        <v>226</v>
      </c>
      <c r="B60" s="241"/>
      <c r="C60" s="241"/>
      <c r="D60" s="241"/>
      <c r="E60" s="241"/>
      <c r="F60" s="241"/>
      <c r="G60" s="241"/>
      <c r="H60" s="241"/>
    </row>
    <row r="61" spans="1:8" ht="13.15" customHeight="1" x14ac:dyDescent="0.35">
      <c r="A61" s="242" t="s">
        <v>228</v>
      </c>
      <c r="B61" s="243"/>
      <c r="C61" s="243"/>
      <c r="D61" s="243"/>
      <c r="E61" s="243"/>
      <c r="F61" s="244"/>
      <c r="G61" s="218"/>
      <c r="H61" s="65" t="str">
        <f>IF(G61="NO","Does not meet design criteria","")</f>
        <v/>
      </c>
    </row>
    <row r="62" spans="1:8" x14ac:dyDescent="0.35">
      <c r="A62" s="245" t="s">
        <v>229</v>
      </c>
      <c r="B62" s="245"/>
      <c r="C62" s="245"/>
      <c r="D62" s="245"/>
      <c r="E62" s="245"/>
      <c r="F62" s="245"/>
      <c r="G62" s="218"/>
      <c r="H62" s="213" t="str">
        <f>IF(G62="NO","Does not meet design criteria","")</f>
        <v/>
      </c>
    </row>
    <row r="63" spans="1:8" ht="13.15" customHeight="1" x14ac:dyDescent="0.35">
      <c r="A63" s="245" t="s">
        <v>230</v>
      </c>
      <c r="B63" s="245"/>
      <c r="C63" s="245"/>
      <c r="D63" s="245"/>
      <c r="E63" s="245"/>
      <c r="F63" s="245"/>
      <c r="G63" s="218"/>
      <c r="H63" s="213" t="str">
        <f>IF(G63="YES","Does not meet design criteria","")</f>
        <v/>
      </c>
    </row>
    <row r="64" spans="1:8" ht="13.15" customHeight="1" x14ac:dyDescent="0.35">
      <c r="A64" s="245" t="s">
        <v>231</v>
      </c>
      <c r="B64" s="245"/>
      <c r="C64" s="245"/>
      <c r="D64" s="245"/>
      <c r="E64" s="245"/>
      <c r="F64" s="245"/>
      <c r="G64" s="218"/>
      <c r="H64" s="213" t="str">
        <f>IF(G64="YES","Does not meet design criteria","")</f>
        <v/>
      </c>
    </row>
    <row r="65" spans="1:8" ht="13.15" customHeight="1" x14ac:dyDescent="0.3">
      <c r="A65" s="246" t="s">
        <v>232</v>
      </c>
      <c r="B65" s="247"/>
      <c r="C65" s="247"/>
      <c r="D65" s="247"/>
      <c r="E65" s="247"/>
      <c r="F65" s="247"/>
      <c r="G65" s="247"/>
      <c r="H65" s="247"/>
    </row>
    <row r="66" spans="1:8" ht="13.15" customHeight="1" x14ac:dyDescent="0.3">
      <c r="A66" s="248"/>
      <c r="B66" s="249"/>
      <c r="C66" s="205" t="s">
        <v>233</v>
      </c>
      <c r="D66" s="200" t="s">
        <v>234</v>
      </c>
      <c r="E66" s="205" t="s">
        <v>235</v>
      </c>
      <c r="F66" s="205" t="s">
        <v>64</v>
      </c>
      <c r="G66" s="205" t="s">
        <v>236</v>
      </c>
      <c r="H66" s="206" t="s">
        <v>237</v>
      </c>
    </row>
    <row r="67" spans="1:8" ht="13.15" customHeight="1" x14ac:dyDescent="0.25">
      <c r="A67" s="250" t="s">
        <v>68</v>
      </c>
      <c r="B67" s="251"/>
      <c r="C67" s="18" t="str">
        <f>'STEP 2-WQv Calculation'!$B$38</f>
        <v/>
      </c>
      <c r="D67" s="18" t="str">
        <f>'STEP 2-WQv Calculation'!$C$38</f>
        <v/>
      </c>
      <c r="E67" s="66" t="str">
        <f>'STEP 2-WQv Calculation'!$D$38</f>
        <v/>
      </c>
      <c r="F67" s="18" t="str">
        <f>'STEP 2-WQv Calculation'!$E$38</f>
        <v/>
      </c>
      <c r="G67" s="42" t="str">
        <f>'STEP 2-WQv Calculation'!$F$38</f>
        <v/>
      </c>
      <c r="H67" s="67">
        <f>'STEP 2-WQv Calculation'!$B$5</f>
        <v>0</v>
      </c>
    </row>
    <row r="68" spans="1:8" x14ac:dyDescent="0.35">
      <c r="A68" s="231" t="s">
        <v>242</v>
      </c>
      <c r="B68" s="232"/>
      <c r="C68" s="3" t="str">
        <f>IF($D59="","",(LOOKUP($D59,'STEP 2-WQv Calculation'!$A$8:$A$37,'STEP 2-WQv Calculation'!$B$8:$B$37)))</f>
        <v/>
      </c>
      <c r="D68" s="252"/>
      <c r="E68" s="253"/>
      <c r="F68" s="253"/>
      <c r="G68" s="253"/>
      <c r="H68" s="254"/>
    </row>
    <row r="69" spans="1:8" ht="13.15" customHeight="1" x14ac:dyDescent="0.25">
      <c r="A69" s="231" t="s">
        <v>239</v>
      </c>
      <c r="B69" s="232"/>
      <c r="C69" s="3" t="e">
        <f>C67-C68</f>
        <v>#VALUE!</v>
      </c>
      <c r="D69" s="3">
        <f>SUM(D67:D68)</f>
        <v>0</v>
      </c>
      <c r="E69" s="54"/>
      <c r="F69" s="3" t="str">
        <f>F67</f>
        <v/>
      </c>
      <c r="G69" s="217" t="e">
        <f>ROUND(((C69*F69*H69)/12)*43560,0)</f>
        <v>#VALUE!</v>
      </c>
      <c r="H69" s="68">
        <f>H67</f>
        <v>0</v>
      </c>
    </row>
    <row r="70" spans="1:8" x14ac:dyDescent="0.35">
      <c r="A70" s="233"/>
      <c r="B70" s="234"/>
      <c r="C70" s="234"/>
      <c r="D70" s="234"/>
      <c r="E70" s="234"/>
      <c r="F70" s="234"/>
      <c r="G70" s="234"/>
      <c r="H70" s="235"/>
    </row>
    <row r="71" spans="1:8" ht="13.15" customHeight="1" x14ac:dyDescent="0.35">
      <c r="A71" s="236" t="s">
        <v>240</v>
      </c>
      <c r="B71" s="237"/>
      <c r="C71" s="237"/>
      <c r="D71" s="237"/>
      <c r="E71" s="237"/>
      <c r="F71" s="237"/>
      <c r="G71" s="237"/>
      <c r="H71" s="238"/>
    </row>
    <row r="72" spans="1:8" ht="13" x14ac:dyDescent="0.35">
      <c r="A72" s="239" t="s">
        <v>241</v>
      </c>
      <c r="B72" s="239"/>
      <c r="C72" s="9" t="str">
        <f>IF(D59="","",(IF(C68="",0,IF(AND(C67=0,D67=0),0,IF(G61="NO",0,IF(G62="NO",0,IF(G63="YES",0,IF(G64="YES",0,G67-G69))))))*IF(COUNTBLANK(G61:G64)&gt;0,0,1)))</f>
        <v/>
      </c>
      <c r="D72" s="240" t="s">
        <v>2</v>
      </c>
      <c r="E72" s="240"/>
      <c r="F72" s="240"/>
      <c r="G72" s="240"/>
      <c r="H72" s="240"/>
    </row>
    <row r="73" spans="1:8" ht="26" x14ac:dyDescent="0.35">
      <c r="A73" s="63" t="s">
        <v>56</v>
      </c>
      <c r="B73" s="225" t="str">
        <f>IF('STEP 2-WQv Calculation'!$B$4="","",'STEP 2-WQv Calculation'!$B$4)</f>
        <v/>
      </c>
      <c r="C73" s="203" t="s">
        <v>60</v>
      </c>
      <c r="D73" s="218"/>
    </row>
    <row r="74" spans="1:8" ht="13" x14ac:dyDescent="0.35">
      <c r="A74" s="241" t="s">
        <v>226</v>
      </c>
      <c r="B74" s="241"/>
      <c r="C74" s="241"/>
      <c r="D74" s="241"/>
      <c r="E74" s="241"/>
      <c r="F74" s="241"/>
      <c r="G74" s="241"/>
      <c r="H74" s="241"/>
    </row>
    <row r="75" spans="1:8" ht="13" x14ac:dyDescent="0.35">
      <c r="A75" s="242" t="s">
        <v>228</v>
      </c>
      <c r="B75" s="243"/>
      <c r="C75" s="243"/>
      <c r="D75" s="243"/>
      <c r="E75" s="243"/>
      <c r="F75" s="244"/>
      <c r="G75" s="218"/>
      <c r="H75" s="65" t="str">
        <f>IF(G75="NO","Does not meet design criteria","")</f>
        <v/>
      </c>
    </row>
    <row r="76" spans="1:8" x14ac:dyDescent="0.35">
      <c r="A76" s="245" t="s">
        <v>229</v>
      </c>
      <c r="B76" s="245"/>
      <c r="C76" s="245"/>
      <c r="D76" s="245"/>
      <c r="E76" s="245"/>
      <c r="F76" s="245"/>
      <c r="G76" s="218"/>
      <c r="H76" s="213" t="str">
        <f>IF(G76="NO","Does not meet design criteria","")</f>
        <v/>
      </c>
    </row>
    <row r="77" spans="1:8" x14ac:dyDescent="0.35">
      <c r="A77" s="245" t="s">
        <v>230</v>
      </c>
      <c r="B77" s="245"/>
      <c r="C77" s="245"/>
      <c r="D77" s="245"/>
      <c r="E77" s="245"/>
      <c r="F77" s="245"/>
      <c r="G77" s="218"/>
      <c r="H77" s="213" t="str">
        <f>IF(G77="YES","Does not meet design criteria","")</f>
        <v/>
      </c>
    </row>
    <row r="78" spans="1:8" x14ac:dyDescent="0.35">
      <c r="A78" s="245" t="s">
        <v>231</v>
      </c>
      <c r="B78" s="245"/>
      <c r="C78" s="245"/>
      <c r="D78" s="245"/>
      <c r="E78" s="245"/>
      <c r="F78" s="245"/>
      <c r="G78" s="218"/>
      <c r="H78" s="213" t="str">
        <f>IF(G78="YES","Does not meet design criteria","")</f>
        <v/>
      </c>
    </row>
    <row r="79" spans="1:8" ht="13" x14ac:dyDescent="0.3">
      <c r="A79" s="246" t="s">
        <v>232</v>
      </c>
      <c r="B79" s="247"/>
      <c r="C79" s="247"/>
      <c r="D79" s="247"/>
      <c r="E79" s="247"/>
      <c r="F79" s="247"/>
      <c r="G79" s="247"/>
      <c r="H79" s="247"/>
    </row>
    <row r="80" spans="1:8" ht="39" x14ac:dyDescent="0.3">
      <c r="A80" s="248"/>
      <c r="B80" s="249"/>
      <c r="C80" s="205" t="s">
        <v>233</v>
      </c>
      <c r="D80" s="200" t="s">
        <v>234</v>
      </c>
      <c r="E80" s="205" t="s">
        <v>235</v>
      </c>
      <c r="F80" s="205" t="s">
        <v>64</v>
      </c>
      <c r="G80" s="205" t="s">
        <v>236</v>
      </c>
      <c r="H80" s="206" t="s">
        <v>237</v>
      </c>
    </row>
    <row r="81" spans="1:8" x14ac:dyDescent="0.25">
      <c r="A81" s="250" t="s">
        <v>68</v>
      </c>
      <c r="B81" s="251"/>
      <c r="C81" s="18" t="str">
        <f>'STEP 2-WQv Calculation'!$B$38</f>
        <v/>
      </c>
      <c r="D81" s="18" t="str">
        <f>'STEP 2-WQv Calculation'!$C$38</f>
        <v/>
      </c>
      <c r="E81" s="66" t="str">
        <f>'STEP 2-WQv Calculation'!$D$38</f>
        <v/>
      </c>
      <c r="F81" s="18" t="str">
        <f>'STEP 2-WQv Calculation'!$E$38</f>
        <v/>
      </c>
      <c r="G81" s="42" t="str">
        <f>'STEP 2-WQv Calculation'!$F$38</f>
        <v/>
      </c>
      <c r="H81" s="67">
        <f>'STEP 2-WQv Calculation'!$B$5</f>
        <v>0</v>
      </c>
    </row>
    <row r="82" spans="1:8" x14ac:dyDescent="0.35">
      <c r="A82" s="231" t="s">
        <v>242</v>
      </c>
      <c r="B82" s="232"/>
      <c r="C82" s="3" t="str">
        <f>IF($D73="","",(LOOKUP($D73,'STEP 2-WQv Calculation'!$A$8:$A$37,'STEP 2-WQv Calculation'!$B$8:$B$37)))</f>
        <v/>
      </c>
      <c r="D82" s="252"/>
      <c r="E82" s="253"/>
      <c r="F82" s="253"/>
      <c r="G82" s="253"/>
      <c r="H82" s="254"/>
    </row>
    <row r="83" spans="1:8" x14ac:dyDescent="0.25">
      <c r="A83" s="231" t="s">
        <v>239</v>
      </c>
      <c r="B83" s="232"/>
      <c r="C83" s="3" t="e">
        <f>C81-C82</f>
        <v>#VALUE!</v>
      </c>
      <c r="D83" s="3">
        <f>SUM(D81:D82)</f>
        <v>0</v>
      </c>
      <c r="E83" s="54"/>
      <c r="F83" s="3" t="str">
        <f>F81</f>
        <v/>
      </c>
      <c r="G83" s="217" t="e">
        <f>ROUND(((C83*F83*H83)/12)*43560,0)</f>
        <v>#VALUE!</v>
      </c>
      <c r="H83" s="68">
        <f>H81</f>
        <v>0</v>
      </c>
    </row>
    <row r="84" spans="1:8" x14ac:dyDescent="0.35">
      <c r="A84" s="233"/>
      <c r="B84" s="234"/>
      <c r="C84" s="234"/>
      <c r="D84" s="234"/>
      <c r="E84" s="234"/>
      <c r="F84" s="234"/>
      <c r="G84" s="234"/>
      <c r="H84" s="235"/>
    </row>
    <row r="85" spans="1:8" ht="13" x14ac:dyDescent="0.35">
      <c r="A85" s="236" t="s">
        <v>240</v>
      </c>
      <c r="B85" s="237"/>
      <c r="C85" s="237"/>
      <c r="D85" s="237"/>
      <c r="E85" s="237"/>
      <c r="F85" s="237"/>
      <c r="G85" s="237"/>
      <c r="H85" s="238"/>
    </row>
    <row r="86" spans="1:8" ht="13" x14ac:dyDescent="0.35">
      <c r="A86" s="239" t="s">
        <v>241</v>
      </c>
      <c r="B86" s="239"/>
      <c r="C86" s="9" t="str">
        <f>IF(D73="","",(IF(C82="",0,IF(AND(C81=0,D81=0),0,IF(G75="NO",0,IF(G76="NO",0,IF(G77="YES",0,IF(G78="YES",0,G81-G83))))))*IF(COUNTBLANK(G75:G78)&gt;0,0,1)))</f>
        <v/>
      </c>
      <c r="D86" s="240" t="s">
        <v>2</v>
      </c>
      <c r="E86" s="240"/>
      <c r="F86" s="240"/>
      <c r="G86" s="240"/>
      <c r="H86" s="240"/>
    </row>
    <row r="87" spans="1:8" ht="26" x14ac:dyDescent="0.35">
      <c r="A87" s="63" t="s">
        <v>56</v>
      </c>
      <c r="B87" s="225" t="str">
        <f>IF('STEP 2-WQv Calculation'!$B$4="","",'STEP 2-WQv Calculation'!$B$4)</f>
        <v/>
      </c>
      <c r="C87" s="203" t="s">
        <v>60</v>
      </c>
      <c r="D87" s="218"/>
    </row>
    <row r="88" spans="1:8" ht="13" x14ac:dyDescent="0.35">
      <c r="A88" s="241" t="s">
        <v>226</v>
      </c>
      <c r="B88" s="241"/>
      <c r="C88" s="241"/>
      <c r="D88" s="241"/>
      <c r="E88" s="241"/>
      <c r="F88" s="241"/>
      <c r="G88" s="241"/>
      <c r="H88" s="241"/>
    </row>
    <row r="89" spans="1:8" ht="13" x14ac:dyDescent="0.35">
      <c r="A89" s="242" t="s">
        <v>228</v>
      </c>
      <c r="B89" s="243"/>
      <c r="C89" s="243"/>
      <c r="D89" s="243"/>
      <c r="E89" s="243"/>
      <c r="F89" s="244"/>
      <c r="G89" s="218"/>
      <c r="H89" s="65" t="str">
        <f>IF(G89="NO","Does not meet design criteria","")</f>
        <v/>
      </c>
    </row>
    <row r="90" spans="1:8" x14ac:dyDescent="0.35">
      <c r="A90" s="245" t="s">
        <v>229</v>
      </c>
      <c r="B90" s="245"/>
      <c r="C90" s="245"/>
      <c r="D90" s="245"/>
      <c r="E90" s="245"/>
      <c r="F90" s="245"/>
      <c r="G90" s="218"/>
      <c r="H90" s="213" t="str">
        <f>IF(G90="NO","Does not meet design criteria","")</f>
        <v/>
      </c>
    </row>
    <row r="91" spans="1:8" x14ac:dyDescent="0.35">
      <c r="A91" s="245" t="s">
        <v>230</v>
      </c>
      <c r="B91" s="245"/>
      <c r="C91" s="245"/>
      <c r="D91" s="245"/>
      <c r="E91" s="245"/>
      <c r="F91" s="245"/>
      <c r="G91" s="218"/>
      <c r="H91" s="213" t="str">
        <f>IF(G91="YES","Does not meet design criteria","")</f>
        <v/>
      </c>
    </row>
    <row r="92" spans="1:8" x14ac:dyDescent="0.35">
      <c r="A92" s="245" t="s">
        <v>231</v>
      </c>
      <c r="B92" s="245"/>
      <c r="C92" s="245"/>
      <c r="D92" s="245"/>
      <c r="E92" s="245"/>
      <c r="F92" s="245"/>
      <c r="G92" s="218"/>
      <c r="H92" s="213" t="str">
        <f>IF(G92="YES","Does not meet design criteria","")</f>
        <v/>
      </c>
    </row>
    <row r="93" spans="1:8" ht="13" x14ac:dyDescent="0.3">
      <c r="A93" s="246" t="s">
        <v>232</v>
      </c>
      <c r="B93" s="247"/>
      <c r="C93" s="247"/>
      <c r="D93" s="247"/>
      <c r="E93" s="247"/>
      <c r="F93" s="247"/>
      <c r="G93" s="247"/>
      <c r="H93" s="247"/>
    </row>
    <row r="94" spans="1:8" ht="39" x14ac:dyDescent="0.3">
      <c r="A94" s="248"/>
      <c r="B94" s="249"/>
      <c r="C94" s="205" t="s">
        <v>233</v>
      </c>
      <c r="D94" s="200" t="s">
        <v>234</v>
      </c>
      <c r="E94" s="205" t="s">
        <v>235</v>
      </c>
      <c r="F94" s="205" t="s">
        <v>64</v>
      </c>
      <c r="G94" s="205" t="s">
        <v>236</v>
      </c>
      <c r="H94" s="206" t="s">
        <v>237</v>
      </c>
    </row>
    <row r="95" spans="1:8" x14ac:dyDescent="0.25">
      <c r="A95" s="250" t="s">
        <v>68</v>
      </c>
      <c r="B95" s="251"/>
      <c r="C95" s="18" t="str">
        <f>'STEP 2-WQv Calculation'!$B$38</f>
        <v/>
      </c>
      <c r="D95" s="18" t="str">
        <f>'STEP 2-WQv Calculation'!$C$38</f>
        <v/>
      </c>
      <c r="E95" s="66" t="str">
        <f>'STEP 2-WQv Calculation'!$D$38</f>
        <v/>
      </c>
      <c r="F95" s="18" t="str">
        <f>'STEP 2-WQv Calculation'!$E$38</f>
        <v/>
      </c>
      <c r="G95" s="42" t="str">
        <f>'STEP 2-WQv Calculation'!$F$38</f>
        <v/>
      </c>
      <c r="H95" s="67">
        <f>'STEP 2-WQv Calculation'!$B$5</f>
        <v>0</v>
      </c>
    </row>
    <row r="96" spans="1:8" x14ac:dyDescent="0.35">
      <c r="A96" s="231" t="s">
        <v>242</v>
      </c>
      <c r="B96" s="232"/>
      <c r="C96" s="3" t="str">
        <f>IF($D87="","",(LOOKUP($D87,'STEP 2-WQv Calculation'!$A$8:$A$37,'STEP 2-WQv Calculation'!$B$8:$B$37)))</f>
        <v/>
      </c>
      <c r="D96" s="252"/>
      <c r="E96" s="253"/>
      <c r="F96" s="253"/>
      <c r="G96" s="253"/>
      <c r="H96" s="254"/>
    </row>
    <row r="97" spans="1:8" x14ac:dyDescent="0.25">
      <c r="A97" s="231" t="s">
        <v>239</v>
      </c>
      <c r="B97" s="232"/>
      <c r="C97" s="3" t="e">
        <f>C95-C96</f>
        <v>#VALUE!</v>
      </c>
      <c r="D97" s="3">
        <f>SUM(D95:D96)</f>
        <v>0</v>
      </c>
      <c r="E97" s="54"/>
      <c r="F97" s="3" t="str">
        <f>F95</f>
        <v/>
      </c>
      <c r="G97" s="217" t="e">
        <f>ROUND(((C97*F97*H97)/12)*43560,0)</f>
        <v>#VALUE!</v>
      </c>
      <c r="H97" s="68">
        <f>H95</f>
        <v>0</v>
      </c>
    </row>
    <row r="98" spans="1:8" x14ac:dyDescent="0.35">
      <c r="A98" s="233"/>
      <c r="B98" s="234"/>
      <c r="C98" s="234"/>
      <c r="D98" s="234"/>
      <c r="E98" s="234"/>
      <c r="F98" s="234"/>
      <c r="G98" s="234"/>
      <c r="H98" s="235"/>
    </row>
    <row r="99" spans="1:8" ht="13" x14ac:dyDescent="0.35">
      <c r="A99" s="236" t="s">
        <v>240</v>
      </c>
      <c r="B99" s="237"/>
      <c r="C99" s="237"/>
      <c r="D99" s="237"/>
      <c r="E99" s="237"/>
      <c r="F99" s="237"/>
      <c r="G99" s="237"/>
      <c r="H99" s="238"/>
    </row>
    <row r="100" spans="1:8" ht="13" x14ac:dyDescent="0.35">
      <c r="A100" s="239" t="s">
        <v>241</v>
      </c>
      <c r="B100" s="239"/>
      <c r="C100" s="9" t="str">
        <f>IF(D87="","",(IF(C96="",0,IF(AND(C95=0,D95=0),0,IF(G89="NO",0,IF(G90="NO",0,IF(G91="YES",0,IF(G92="YES",0,G95-G97))))))*IF(COUNTBLANK(G89:G92)&gt;0,0,1)))</f>
        <v/>
      </c>
      <c r="D100" s="240" t="s">
        <v>2</v>
      </c>
      <c r="E100" s="240"/>
      <c r="F100" s="240"/>
      <c r="G100" s="240"/>
      <c r="H100" s="240"/>
    </row>
    <row r="101" spans="1:8" ht="26" x14ac:dyDescent="0.35">
      <c r="A101" s="63" t="s">
        <v>56</v>
      </c>
      <c r="B101" s="225" t="str">
        <f>IF('STEP 2-WQv Calculation'!$B$4="","",'STEP 2-WQv Calculation'!$B$4)</f>
        <v/>
      </c>
      <c r="C101" s="203" t="s">
        <v>60</v>
      </c>
      <c r="D101" s="218"/>
    </row>
    <row r="102" spans="1:8" ht="13" x14ac:dyDescent="0.35">
      <c r="A102" s="241" t="s">
        <v>226</v>
      </c>
      <c r="B102" s="241"/>
      <c r="C102" s="241"/>
      <c r="D102" s="241"/>
      <c r="E102" s="241"/>
      <c r="F102" s="241"/>
      <c r="G102" s="241"/>
      <c r="H102" s="241"/>
    </row>
    <row r="103" spans="1:8" ht="13" x14ac:dyDescent="0.35">
      <c r="A103" s="242" t="s">
        <v>228</v>
      </c>
      <c r="B103" s="243"/>
      <c r="C103" s="243"/>
      <c r="D103" s="243"/>
      <c r="E103" s="243"/>
      <c r="F103" s="244"/>
      <c r="G103" s="218"/>
      <c r="H103" s="65" t="str">
        <f>IF(G103="NO","Does not meet design criteria","")</f>
        <v/>
      </c>
    </row>
    <row r="104" spans="1:8" x14ac:dyDescent="0.35">
      <c r="A104" s="245" t="s">
        <v>229</v>
      </c>
      <c r="B104" s="245"/>
      <c r="C104" s="245"/>
      <c r="D104" s="245"/>
      <c r="E104" s="245"/>
      <c r="F104" s="245"/>
      <c r="G104" s="218"/>
      <c r="H104" s="213" t="str">
        <f>IF(G104="NO","Does not meet design criteria","")</f>
        <v/>
      </c>
    </row>
    <row r="105" spans="1:8" x14ac:dyDescent="0.35">
      <c r="A105" s="245" t="s">
        <v>230</v>
      </c>
      <c r="B105" s="245"/>
      <c r="C105" s="245"/>
      <c r="D105" s="245"/>
      <c r="E105" s="245"/>
      <c r="F105" s="245"/>
      <c r="G105" s="218"/>
      <c r="H105" s="213" t="str">
        <f>IF(G105="YES","Does not meet design criteria","")</f>
        <v/>
      </c>
    </row>
    <row r="106" spans="1:8" x14ac:dyDescent="0.35">
      <c r="A106" s="245" t="s">
        <v>231</v>
      </c>
      <c r="B106" s="245"/>
      <c r="C106" s="245"/>
      <c r="D106" s="245"/>
      <c r="E106" s="245"/>
      <c r="F106" s="245"/>
      <c r="G106" s="218"/>
      <c r="H106" s="213" t="str">
        <f>IF(G106="YES","Does not meet design criteria","")</f>
        <v/>
      </c>
    </row>
    <row r="107" spans="1:8" ht="13" x14ac:dyDescent="0.3">
      <c r="A107" s="246" t="s">
        <v>232</v>
      </c>
      <c r="B107" s="247"/>
      <c r="C107" s="247"/>
      <c r="D107" s="247"/>
      <c r="E107" s="247"/>
      <c r="F107" s="247"/>
      <c r="G107" s="247"/>
      <c r="H107" s="247"/>
    </row>
    <row r="108" spans="1:8" ht="39" x14ac:dyDescent="0.3">
      <c r="A108" s="248"/>
      <c r="B108" s="249"/>
      <c r="C108" s="205" t="s">
        <v>233</v>
      </c>
      <c r="D108" s="200" t="s">
        <v>234</v>
      </c>
      <c r="E108" s="205" t="s">
        <v>235</v>
      </c>
      <c r="F108" s="205" t="s">
        <v>64</v>
      </c>
      <c r="G108" s="205" t="s">
        <v>236</v>
      </c>
      <c r="H108" s="206" t="s">
        <v>237</v>
      </c>
    </row>
    <row r="109" spans="1:8" x14ac:dyDescent="0.25">
      <c r="A109" s="250" t="s">
        <v>68</v>
      </c>
      <c r="B109" s="251"/>
      <c r="C109" s="18" t="str">
        <f>'STEP 2-WQv Calculation'!$B$38</f>
        <v/>
      </c>
      <c r="D109" s="18" t="str">
        <f>'STEP 2-WQv Calculation'!$C$38</f>
        <v/>
      </c>
      <c r="E109" s="66" t="str">
        <f>'STEP 2-WQv Calculation'!$D$38</f>
        <v/>
      </c>
      <c r="F109" s="18" t="str">
        <f>'STEP 2-WQv Calculation'!$E$38</f>
        <v/>
      </c>
      <c r="G109" s="42" t="str">
        <f>'STEP 2-WQv Calculation'!$F$38</f>
        <v/>
      </c>
      <c r="H109" s="67">
        <f>'STEP 2-WQv Calculation'!$B$5</f>
        <v>0</v>
      </c>
    </row>
    <row r="110" spans="1:8" x14ac:dyDescent="0.35">
      <c r="A110" s="231" t="s">
        <v>242</v>
      </c>
      <c r="B110" s="232"/>
      <c r="C110" s="3" t="str">
        <f>IF($D101="","",(LOOKUP($D101,'STEP 2-WQv Calculation'!$A$8:$A$37,'STEP 2-WQv Calculation'!$B$8:$B$37)))</f>
        <v/>
      </c>
      <c r="D110" s="252"/>
      <c r="E110" s="253"/>
      <c r="F110" s="253"/>
      <c r="G110" s="253"/>
      <c r="H110" s="254"/>
    </row>
    <row r="111" spans="1:8" x14ac:dyDescent="0.25">
      <c r="A111" s="231" t="s">
        <v>239</v>
      </c>
      <c r="B111" s="232"/>
      <c r="C111" s="3" t="e">
        <f>C109-C110</f>
        <v>#VALUE!</v>
      </c>
      <c r="D111" s="3">
        <f>SUM(D109:D110)</f>
        <v>0</v>
      </c>
      <c r="E111" s="54"/>
      <c r="F111" s="3" t="str">
        <f>F109</f>
        <v/>
      </c>
      <c r="G111" s="217" t="e">
        <f>ROUND(((C111*F111*H111)/12)*43560,0)</f>
        <v>#VALUE!</v>
      </c>
      <c r="H111" s="68">
        <f>H109</f>
        <v>0</v>
      </c>
    </row>
    <row r="112" spans="1:8" x14ac:dyDescent="0.35">
      <c r="A112" s="233"/>
      <c r="B112" s="234"/>
      <c r="C112" s="234"/>
      <c r="D112" s="234"/>
      <c r="E112" s="234"/>
      <c r="F112" s="234"/>
      <c r="G112" s="234"/>
      <c r="H112" s="235"/>
    </row>
    <row r="113" spans="1:8" ht="13" x14ac:dyDescent="0.35">
      <c r="A113" s="236" t="s">
        <v>240</v>
      </c>
      <c r="B113" s="237"/>
      <c r="C113" s="237"/>
      <c r="D113" s="237"/>
      <c r="E113" s="237"/>
      <c r="F113" s="237"/>
      <c r="G113" s="237"/>
      <c r="H113" s="238"/>
    </row>
    <row r="114" spans="1:8" ht="13" x14ac:dyDescent="0.35">
      <c r="A114" s="239" t="s">
        <v>241</v>
      </c>
      <c r="B114" s="239"/>
      <c r="C114" s="9" t="str">
        <f>IF(D101="","",(IF(C110="",0,IF(AND(C109=0,D109=0),0,IF(G103="NO",0,IF(G104="NO",0,IF(G105="YES",0,IF(G106="YES",0,G109-G111))))))*IF(COUNTBLANK(G103:G106)&gt;0,0,1)))</f>
        <v/>
      </c>
      <c r="D114" s="240" t="s">
        <v>2</v>
      </c>
      <c r="E114" s="240"/>
      <c r="F114" s="240"/>
      <c r="G114" s="240"/>
      <c r="H114" s="240"/>
    </row>
    <row r="115" spans="1:8" ht="26" x14ac:dyDescent="0.35">
      <c r="A115" s="63" t="s">
        <v>56</v>
      </c>
      <c r="B115" s="225" t="str">
        <f>IF('STEP 2-WQv Calculation'!$B$4="","",'STEP 2-WQv Calculation'!$B$4)</f>
        <v/>
      </c>
      <c r="C115" s="203" t="s">
        <v>60</v>
      </c>
      <c r="D115" s="218"/>
    </row>
    <row r="116" spans="1:8" ht="13" x14ac:dyDescent="0.35">
      <c r="A116" s="241" t="s">
        <v>226</v>
      </c>
      <c r="B116" s="241"/>
      <c r="C116" s="241"/>
      <c r="D116" s="241"/>
      <c r="E116" s="241"/>
      <c r="F116" s="241"/>
      <c r="G116" s="241"/>
      <c r="H116" s="241"/>
    </row>
    <row r="117" spans="1:8" ht="13" x14ac:dyDescent="0.35">
      <c r="A117" s="242" t="s">
        <v>228</v>
      </c>
      <c r="B117" s="243"/>
      <c r="C117" s="243"/>
      <c r="D117" s="243"/>
      <c r="E117" s="243"/>
      <c r="F117" s="244"/>
      <c r="G117" s="218"/>
      <c r="H117" s="65" t="str">
        <f>IF(G117="NO","Does not meet design criteria","")</f>
        <v/>
      </c>
    </row>
    <row r="118" spans="1:8" x14ac:dyDescent="0.35">
      <c r="A118" s="245" t="s">
        <v>229</v>
      </c>
      <c r="B118" s="245"/>
      <c r="C118" s="245"/>
      <c r="D118" s="245"/>
      <c r="E118" s="245"/>
      <c r="F118" s="245"/>
      <c r="G118" s="218"/>
      <c r="H118" s="213" t="str">
        <f>IF(G118="NO","Does not meet design criteria","")</f>
        <v/>
      </c>
    </row>
    <row r="119" spans="1:8" x14ac:dyDescent="0.35">
      <c r="A119" s="245" t="s">
        <v>230</v>
      </c>
      <c r="B119" s="245"/>
      <c r="C119" s="245"/>
      <c r="D119" s="245"/>
      <c r="E119" s="245"/>
      <c r="F119" s="245"/>
      <c r="G119" s="218"/>
      <c r="H119" s="213" t="str">
        <f>IF(G119="YES","Does not meet design criteria","")</f>
        <v/>
      </c>
    </row>
    <row r="120" spans="1:8" x14ac:dyDescent="0.35">
      <c r="A120" s="245" t="s">
        <v>231</v>
      </c>
      <c r="B120" s="245"/>
      <c r="C120" s="245"/>
      <c r="D120" s="245"/>
      <c r="E120" s="245"/>
      <c r="F120" s="245"/>
      <c r="G120" s="218"/>
      <c r="H120" s="213" t="str">
        <f>IF(G120="YES","Does not meet design criteria","")</f>
        <v/>
      </c>
    </row>
    <row r="121" spans="1:8" ht="13" x14ac:dyDescent="0.3">
      <c r="A121" s="246" t="s">
        <v>232</v>
      </c>
      <c r="B121" s="247"/>
      <c r="C121" s="247"/>
      <c r="D121" s="247"/>
      <c r="E121" s="247"/>
      <c r="F121" s="247"/>
      <c r="G121" s="247"/>
      <c r="H121" s="247"/>
    </row>
    <row r="122" spans="1:8" ht="39" x14ac:dyDescent="0.3">
      <c r="A122" s="248"/>
      <c r="B122" s="249"/>
      <c r="C122" s="205" t="s">
        <v>233</v>
      </c>
      <c r="D122" s="200" t="s">
        <v>234</v>
      </c>
      <c r="E122" s="205" t="s">
        <v>235</v>
      </c>
      <c r="F122" s="205" t="s">
        <v>64</v>
      </c>
      <c r="G122" s="205" t="s">
        <v>236</v>
      </c>
      <c r="H122" s="206" t="s">
        <v>237</v>
      </c>
    </row>
    <row r="123" spans="1:8" x14ac:dyDescent="0.25">
      <c r="A123" s="250" t="s">
        <v>68</v>
      </c>
      <c r="B123" s="251"/>
      <c r="C123" s="18" t="str">
        <f>'STEP 2-WQv Calculation'!$B$38</f>
        <v/>
      </c>
      <c r="D123" s="18" t="str">
        <f>'STEP 2-WQv Calculation'!$C$38</f>
        <v/>
      </c>
      <c r="E123" s="66" t="str">
        <f>'STEP 2-WQv Calculation'!$D$38</f>
        <v/>
      </c>
      <c r="F123" s="18" t="str">
        <f>'STEP 2-WQv Calculation'!$E$38</f>
        <v/>
      </c>
      <c r="G123" s="42" t="str">
        <f>'STEP 2-WQv Calculation'!$F$38</f>
        <v/>
      </c>
      <c r="H123" s="67">
        <f>'STEP 2-WQv Calculation'!$B$5</f>
        <v>0</v>
      </c>
    </row>
    <row r="124" spans="1:8" x14ac:dyDescent="0.35">
      <c r="A124" s="231" t="s">
        <v>242</v>
      </c>
      <c r="B124" s="232"/>
      <c r="C124" s="3" t="str">
        <f>IF($D115="","",(LOOKUP($D115,'STEP 2-WQv Calculation'!$A$8:$A$37,'STEP 2-WQv Calculation'!$B$8:$B$37)))</f>
        <v/>
      </c>
      <c r="D124" s="252"/>
      <c r="E124" s="253"/>
      <c r="F124" s="253"/>
      <c r="G124" s="253"/>
      <c r="H124" s="254"/>
    </row>
    <row r="125" spans="1:8" x14ac:dyDescent="0.25">
      <c r="A125" s="231" t="s">
        <v>239</v>
      </c>
      <c r="B125" s="232"/>
      <c r="C125" s="3" t="e">
        <f>C123-C124</f>
        <v>#VALUE!</v>
      </c>
      <c r="D125" s="3">
        <f>SUM(D123:D124)</f>
        <v>0</v>
      </c>
      <c r="E125" s="54"/>
      <c r="F125" s="3" t="str">
        <f>F123</f>
        <v/>
      </c>
      <c r="G125" s="217" t="e">
        <f>ROUND(((C125*F125*H125)/12)*43560,0)</f>
        <v>#VALUE!</v>
      </c>
      <c r="H125" s="68">
        <f>H123</f>
        <v>0</v>
      </c>
    </row>
    <row r="126" spans="1:8" x14ac:dyDescent="0.35">
      <c r="A126" s="233"/>
      <c r="B126" s="234"/>
      <c r="C126" s="234"/>
      <c r="D126" s="234"/>
      <c r="E126" s="234"/>
      <c r="F126" s="234"/>
      <c r="G126" s="234"/>
      <c r="H126" s="235"/>
    </row>
    <row r="127" spans="1:8" ht="13" x14ac:dyDescent="0.35">
      <c r="A127" s="236" t="s">
        <v>240</v>
      </c>
      <c r="B127" s="237"/>
      <c r="C127" s="237"/>
      <c r="D127" s="237"/>
      <c r="E127" s="237"/>
      <c r="F127" s="237"/>
      <c r="G127" s="237"/>
      <c r="H127" s="238"/>
    </row>
    <row r="128" spans="1:8" ht="13" x14ac:dyDescent="0.35">
      <c r="A128" s="239" t="s">
        <v>241</v>
      </c>
      <c r="B128" s="239"/>
      <c r="C128" s="9" t="str">
        <f>IF(D115="","",(IF(C124="",0,IF(AND(C123=0,D123=0),0,IF(G117="NO",0,IF(G118="NO",0,IF(G119="YES",0,IF(G120="YES",0,G123-G125))))))*IF(COUNTBLANK(G117:G120)&gt;0,0,1)))</f>
        <v/>
      </c>
      <c r="D128" s="240" t="s">
        <v>2</v>
      </c>
      <c r="E128" s="240"/>
      <c r="F128" s="240"/>
      <c r="G128" s="240"/>
      <c r="H128" s="240"/>
    </row>
    <row r="129" spans="1:8" ht="26" x14ac:dyDescent="0.35">
      <c r="A129" s="63" t="s">
        <v>56</v>
      </c>
      <c r="B129" s="225" t="str">
        <f>IF('STEP 2-WQv Calculation'!$B$4="","",'STEP 2-WQv Calculation'!$B$4)</f>
        <v/>
      </c>
      <c r="C129" s="203" t="s">
        <v>60</v>
      </c>
      <c r="D129" s="218"/>
    </row>
    <row r="130" spans="1:8" ht="13" x14ac:dyDescent="0.35">
      <c r="A130" s="241" t="s">
        <v>226</v>
      </c>
      <c r="B130" s="241"/>
      <c r="C130" s="241"/>
      <c r="D130" s="241"/>
      <c r="E130" s="241"/>
      <c r="F130" s="241"/>
      <c r="G130" s="241"/>
      <c r="H130" s="241"/>
    </row>
    <row r="131" spans="1:8" ht="13" x14ac:dyDescent="0.35">
      <c r="A131" s="242" t="s">
        <v>228</v>
      </c>
      <c r="B131" s="243"/>
      <c r="C131" s="243"/>
      <c r="D131" s="243"/>
      <c r="E131" s="243"/>
      <c r="F131" s="244"/>
      <c r="G131" s="218"/>
      <c r="H131" s="65" t="str">
        <f>IF(G131="NO","Does not meet design criteria","")</f>
        <v/>
      </c>
    </row>
    <row r="132" spans="1:8" x14ac:dyDescent="0.35">
      <c r="A132" s="245" t="s">
        <v>229</v>
      </c>
      <c r="B132" s="245"/>
      <c r="C132" s="245"/>
      <c r="D132" s="245"/>
      <c r="E132" s="245"/>
      <c r="F132" s="245"/>
      <c r="G132" s="218"/>
      <c r="H132" s="213" t="str">
        <f>IF(G132="NO","Does not meet design criteria","")</f>
        <v/>
      </c>
    </row>
    <row r="133" spans="1:8" x14ac:dyDescent="0.35">
      <c r="A133" s="245" t="s">
        <v>230</v>
      </c>
      <c r="B133" s="245"/>
      <c r="C133" s="245"/>
      <c r="D133" s="245"/>
      <c r="E133" s="245"/>
      <c r="F133" s="245"/>
      <c r="G133" s="218"/>
      <c r="H133" s="213" t="str">
        <f>IF(G133="YES","Does not meet design criteria","")</f>
        <v/>
      </c>
    </row>
    <row r="134" spans="1:8" x14ac:dyDescent="0.35">
      <c r="A134" s="245" t="s">
        <v>231</v>
      </c>
      <c r="B134" s="245"/>
      <c r="C134" s="245"/>
      <c r="D134" s="245"/>
      <c r="E134" s="245"/>
      <c r="F134" s="245"/>
      <c r="G134" s="218"/>
      <c r="H134" s="213" t="str">
        <f>IF(G134="YES","Does not meet design criteria","")</f>
        <v/>
      </c>
    </row>
    <row r="135" spans="1:8" ht="13" x14ac:dyDescent="0.3">
      <c r="A135" s="246" t="s">
        <v>232</v>
      </c>
      <c r="B135" s="247"/>
      <c r="C135" s="247"/>
      <c r="D135" s="247"/>
      <c r="E135" s="247"/>
      <c r="F135" s="247"/>
      <c r="G135" s="247"/>
      <c r="H135" s="247"/>
    </row>
    <row r="136" spans="1:8" ht="39" x14ac:dyDescent="0.3">
      <c r="A136" s="248"/>
      <c r="B136" s="249"/>
      <c r="C136" s="205" t="s">
        <v>233</v>
      </c>
      <c r="D136" s="200" t="s">
        <v>234</v>
      </c>
      <c r="E136" s="205" t="s">
        <v>235</v>
      </c>
      <c r="F136" s="205" t="s">
        <v>64</v>
      </c>
      <c r="G136" s="205" t="s">
        <v>236</v>
      </c>
      <c r="H136" s="206" t="s">
        <v>237</v>
      </c>
    </row>
    <row r="137" spans="1:8" x14ac:dyDescent="0.25">
      <c r="A137" s="250" t="s">
        <v>68</v>
      </c>
      <c r="B137" s="251"/>
      <c r="C137" s="18" t="str">
        <f>'STEP 2-WQv Calculation'!$B$38</f>
        <v/>
      </c>
      <c r="D137" s="18" t="str">
        <f>'STEP 2-WQv Calculation'!$C$38</f>
        <v/>
      </c>
      <c r="E137" s="66" t="str">
        <f>'STEP 2-WQv Calculation'!$D$38</f>
        <v/>
      </c>
      <c r="F137" s="18" t="str">
        <f>'STEP 2-WQv Calculation'!$E$38</f>
        <v/>
      </c>
      <c r="G137" s="42" t="str">
        <f>'STEP 2-WQv Calculation'!$F$38</f>
        <v/>
      </c>
      <c r="H137" s="67">
        <f>'STEP 2-WQv Calculation'!$B$5</f>
        <v>0</v>
      </c>
    </row>
    <row r="138" spans="1:8" x14ac:dyDescent="0.35">
      <c r="A138" s="231" t="s">
        <v>242</v>
      </c>
      <c r="B138" s="232"/>
      <c r="C138" s="3" t="str">
        <f>IF($D129="","",(LOOKUP($D129,'STEP 2-WQv Calculation'!$A$8:$A$37,'STEP 2-WQv Calculation'!$B$8:$B$37)))</f>
        <v/>
      </c>
      <c r="D138" s="252"/>
      <c r="E138" s="253"/>
      <c r="F138" s="253"/>
      <c r="G138" s="253"/>
      <c r="H138" s="254"/>
    </row>
    <row r="139" spans="1:8" x14ac:dyDescent="0.25">
      <c r="A139" s="231" t="s">
        <v>239</v>
      </c>
      <c r="B139" s="232"/>
      <c r="C139" s="3" t="e">
        <f>C137-C138</f>
        <v>#VALUE!</v>
      </c>
      <c r="D139" s="3">
        <f>SUM(D137:D138)</f>
        <v>0</v>
      </c>
      <c r="E139" s="54"/>
      <c r="F139" s="3" t="str">
        <f>F137</f>
        <v/>
      </c>
      <c r="G139" s="217" t="e">
        <f>ROUND(((C139*F139*H139)/12)*43560,0)</f>
        <v>#VALUE!</v>
      </c>
      <c r="H139" s="68">
        <f>H137</f>
        <v>0</v>
      </c>
    </row>
    <row r="140" spans="1:8" x14ac:dyDescent="0.35">
      <c r="A140" s="233"/>
      <c r="B140" s="234"/>
      <c r="C140" s="234"/>
      <c r="D140" s="234"/>
      <c r="E140" s="234"/>
      <c r="F140" s="234"/>
      <c r="G140" s="234"/>
      <c r="H140" s="235"/>
    </row>
    <row r="141" spans="1:8" ht="13" x14ac:dyDescent="0.35">
      <c r="A141" s="236" t="s">
        <v>240</v>
      </c>
      <c r="B141" s="237"/>
      <c r="C141" s="237"/>
      <c r="D141" s="237"/>
      <c r="E141" s="237"/>
      <c r="F141" s="237"/>
      <c r="G141" s="237"/>
      <c r="H141" s="238"/>
    </row>
    <row r="142" spans="1:8" ht="13" x14ac:dyDescent="0.35">
      <c r="A142" s="239" t="s">
        <v>241</v>
      </c>
      <c r="B142" s="239"/>
      <c r="C142" s="9" t="str">
        <f>IF(D129="","",(IF(C138="",0,IF(AND(C137=0,D137=0),0,IF(G131="NO",0,IF(G132="NO",0,IF(G133="YES",0,IF(G134="YES",0,G137-G139))))))*IF(COUNTBLANK(G131:G134)&gt;0,0,1)))</f>
        <v/>
      </c>
      <c r="D142" s="240" t="s">
        <v>2</v>
      </c>
      <c r="E142" s="240"/>
      <c r="F142" s="240"/>
      <c r="G142" s="240"/>
      <c r="H142" s="240"/>
    </row>
  </sheetData>
  <sheetProtection algorithmName="SHA-512" hashValue="Uu0wmkKK2MDPRE5wx3wT6G3CP749R4I2vWyfexf0undXzhhGoSsZRCA7Mo7oVfS0wE1gzJMVe42/ws2UfYXJiw==" saltValue="X2JUG7Haz8PT9cKUoWAJUQ==" spinCount="100000" sheet="1" formatColumns="0" formatRows="0"/>
  <mergeCells count="155">
    <mergeCell ref="A125:B125"/>
    <mergeCell ref="A126:H126"/>
    <mergeCell ref="A127:H127"/>
    <mergeCell ref="A128:B128"/>
    <mergeCell ref="D128:H128"/>
    <mergeCell ref="A116:H116"/>
    <mergeCell ref="A119:F119"/>
    <mergeCell ref="A120:F120"/>
    <mergeCell ref="A121:H121"/>
    <mergeCell ref="A124:B124"/>
    <mergeCell ref="D124:H124"/>
    <mergeCell ref="A117:F117"/>
    <mergeCell ref="A118:F118"/>
    <mergeCell ref="A122:B122"/>
    <mergeCell ref="A123:B123"/>
    <mergeCell ref="A111:B111"/>
    <mergeCell ref="A112:H112"/>
    <mergeCell ref="A113:H113"/>
    <mergeCell ref="A114:B114"/>
    <mergeCell ref="D114:H114"/>
    <mergeCell ref="A107:H107"/>
    <mergeCell ref="A108:B108"/>
    <mergeCell ref="A109:B109"/>
    <mergeCell ref="A110:B110"/>
    <mergeCell ref="D110:H110"/>
    <mergeCell ref="A102:H102"/>
    <mergeCell ref="A103:F103"/>
    <mergeCell ref="A104:F104"/>
    <mergeCell ref="A105:F105"/>
    <mergeCell ref="A106:F106"/>
    <mergeCell ref="A97:B97"/>
    <mergeCell ref="A98:H98"/>
    <mergeCell ref="A99:H99"/>
    <mergeCell ref="A100:B100"/>
    <mergeCell ref="D100:H100"/>
    <mergeCell ref="A88:H88"/>
    <mergeCell ref="A89:F89"/>
    <mergeCell ref="A90:F90"/>
    <mergeCell ref="A91:F91"/>
    <mergeCell ref="A92:F92"/>
    <mergeCell ref="A93:H93"/>
    <mergeCell ref="A94:B94"/>
    <mergeCell ref="A95:B95"/>
    <mergeCell ref="A96:B96"/>
    <mergeCell ref="D96:H96"/>
    <mergeCell ref="A83:B83"/>
    <mergeCell ref="A85:H85"/>
    <mergeCell ref="A84:H84"/>
    <mergeCell ref="A86:B86"/>
    <mergeCell ref="D86:H86"/>
    <mergeCell ref="A78:F78"/>
    <mergeCell ref="A81:B81"/>
    <mergeCell ref="A82:B82"/>
    <mergeCell ref="A79:H79"/>
    <mergeCell ref="A80:B80"/>
    <mergeCell ref="D82:H82"/>
    <mergeCell ref="A76:F76"/>
    <mergeCell ref="A77:F77"/>
    <mergeCell ref="A74:H74"/>
    <mergeCell ref="A75:F75"/>
    <mergeCell ref="A65:H65"/>
    <mergeCell ref="A71:H71"/>
    <mergeCell ref="A72:B72"/>
    <mergeCell ref="D72:H72"/>
    <mergeCell ref="I7:M7"/>
    <mergeCell ref="A16:B16"/>
    <mergeCell ref="A8:F8"/>
    <mergeCell ref="A7:F7"/>
    <mergeCell ref="A9:H9"/>
    <mergeCell ref="D12:H12"/>
    <mergeCell ref="A10:B10"/>
    <mergeCell ref="A11:B11"/>
    <mergeCell ref="A50:F50"/>
    <mergeCell ref="A64:F64"/>
    <mergeCell ref="A54:B54"/>
    <mergeCell ref="A55:B55"/>
    <mergeCell ref="A63:F63"/>
    <mergeCell ref="D44:H44"/>
    <mergeCell ref="A47:F47"/>
    <mergeCell ref="A48:F48"/>
    <mergeCell ref="A23:H23"/>
    <mergeCell ref="A24:B24"/>
    <mergeCell ref="A25:B25"/>
    <mergeCell ref="D26:H26"/>
    <mergeCell ref="A28:H28"/>
    <mergeCell ref="A29:H29"/>
    <mergeCell ref="A30:B30"/>
    <mergeCell ref="D30:H30"/>
    <mergeCell ref="A56:H56"/>
    <mergeCell ref="A27:B27"/>
    <mergeCell ref="A26:B26"/>
    <mergeCell ref="A32:H32"/>
    <mergeCell ref="A33:F33"/>
    <mergeCell ref="A35:F35"/>
    <mergeCell ref="A36:F36"/>
    <mergeCell ref="A34:F34"/>
    <mergeCell ref="A37:H37"/>
    <mergeCell ref="A38:B38"/>
    <mergeCell ref="A40:B40"/>
    <mergeCell ref="A41:B41"/>
    <mergeCell ref="A39:B39"/>
    <mergeCell ref="D40:H40"/>
    <mergeCell ref="A42:H42"/>
    <mergeCell ref="A51:H51"/>
    <mergeCell ref="I2:J2"/>
    <mergeCell ref="I1:J1"/>
    <mergeCell ref="A22:F22"/>
    <mergeCell ref="D16:H16"/>
    <mergeCell ref="A14:H14"/>
    <mergeCell ref="A15:H15"/>
    <mergeCell ref="A5:F5"/>
    <mergeCell ref="A6:F6"/>
    <mergeCell ref="A2:H2"/>
    <mergeCell ref="A3:H3"/>
    <mergeCell ref="D4:H4"/>
    <mergeCell ref="A18:H18"/>
    <mergeCell ref="A12:B12"/>
    <mergeCell ref="A13:B13"/>
    <mergeCell ref="A21:F21"/>
    <mergeCell ref="A19:F19"/>
    <mergeCell ref="A20:F20"/>
    <mergeCell ref="D54:H54"/>
    <mergeCell ref="A46:H46"/>
    <mergeCell ref="A49:F49"/>
    <mergeCell ref="A43:H43"/>
    <mergeCell ref="A44:B44"/>
    <mergeCell ref="A66:B66"/>
    <mergeCell ref="A67:B67"/>
    <mergeCell ref="D68:H68"/>
    <mergeCell ref="A70:H70"/>
    <mergeCell ref="A69:B69"/>
    <mergeCell ref="A68:B68"/>
    <mergeCell ref="A57:H57"/>
    <mergeCell ref="A58:B58"/>
    <mergeCell ref="D58:H58"/>
    <mergeCell ref="A61:F61"/>
    <mergeCell ref="A62:F62"/>
    <mergeCell ref="A60:H60"/>
    <mergeCell ref="A52:B52"/>
    <mergeCell ref="A53:B53"/>
    <mergeCell ref="A139:B139"/>
    <mergeCell ref="A140:H140"/>
    <mergeCell ref="A141:H141"/>
    <mergeCell ref="A142:B142"/>
    <mergeCell ref="D142:H142"/>
    <mergeCell ref="A130:H130"/>
    <mergeCell ref="A131:F131"/>
    <mergeCell ref="A132:F132"/>
    <mergeCell ref="A133:F133"/>
    <mergeCell ref="A134:F134"/>
    <mergeCell ref="A135:H135"/>
    <mergeCell ref="A136:B136"/>
    <mergeCell ref="A137:B137"/>
    <mergeCell ref="A138:B138"/>
    <mergeCell ref="D138:H138"/>
  </mergeCells>
  <dataValidations count="2">
    <dataValidation type="list" showInputMessage="1" showErrorMessage="1" promptTitle="Yes or No?" sqref="G5:G8 G19:G22 G33:G36 G47:G50 G61:G64 G75:G78 G89:G92 G103:G106 G117:G120 G131:G134" xr:uid="{00000000-0002-0000-0A00-000000000000}">
      <formula1>YesNo</formula1>
    </dataValidation>
    <dataValidation type="list" showInputMessage="1" showErrorMessage="1" promptTitle="Choose Area" sqref="D1 D17 D31 D45 D59 D73 D87 D101 D115 D129" xr:uid="{4618B8FC-4671-4234-ADC0-1D62DFD82FED}">
      <formula1>CatchNo</formula1>
    </dataValidation>
  </dataValidations>
  <pageMargins left="0.5" right="0.5" top="0.75" bottom="0.5" header="0.3" footer="0.3"/>
  <pageSetup paperSize="278" orientation="portrait" r:id="rId1"/>
  <headerFooter>
    <oddHeader>&amp;C&amp;"Arial,Regular"&amp;18Conservation of Natural Areas (RR-1)</oddHeader>
  </headerFooter>
  <rowBreaks count="10" manualBreakCount="10">
    <brk id="16" max="16383" man="1"/>
    <brk id="30" max="16383" man="1"/>
    <brk id="44" max="16383" man="1"/>
    <brk id="58" max="16383" man="1"/>
    <brk id="72" max="16383" man="1"/>
    <brk id="86" max="16383" man="1"/>
    <brk id="100" max="16383" man="1"/>
    <brk id="114" max="16383" man="1"/>
    <brk id="128" max="16383" man="1"/>
    <brk id="1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D7F3-53ED-4D14-9374-32F14138C019}">
  <dimension ref="A1:P282"/>
  <sheetViews>
    <sheetView view="pageLayout" zoomScaleNormal="100" workbookViewId="0">
      <selection activeCell="I43" sqref="I43"/>
    </sheetView>
  </sheetViews>
  <sheetFormatPr defaultColWidth="9.1796875" defaultRowHeight="12.5" x14ac:dyDescent="0.35"/>
  <cols>
    <col min="1" max="1" width="12.7265625" style="12" customWidth="1"/>
    <col min="2" max="2" width="12" style="12" customWidth="1"/>
    <col min="3" max="5" width="10.7265625" style="12" customWidth="1"/>
    <col min="6" max="6" width="7.54296875" style="12" customWidth="1"/>
    <col min="7" max="7" width="12.453125" style="12" customWidth="1"/>
    <col min="8" max="8" width="15" style="12" customWidth="1"/>
    <col min="9" max="16384" width="9.1796875" style="12"/>
  </cols>
  <sheetData>
    <row r="1" spans="1:14" ht="15" customHeight="1" x14ac:dyDescent="0.35">
      <c r="A1" s="16" t="s">
        <v>56</v>
      </c>
      <c r="B1" s="225" t="str">
        <f>IF('STEP 2-WQv Calculation'!$B$4="","",'STEP 2-WQv Calculation'!$B$4)</f>
        <v/>
      </c>
    </row>
    <row r="2" spans="1:14" ht="13" x14ac:dyDescent="0.35">
      <c r="A2" s="309" t="s">
        <v>243</v>
      </c>
      <c r="B2" s="309"/>
      <c r="C2" s="309"/>
      <c r="D2" s="309"/>
      <c r="E2" s="309"/>
      <c r="F2" s="309"/>
      <c r="G2" s="309"/>
      <c r="H2" s="309"/>
      <c r="I2" s="255" t="s">
        <v>219</v>
      </c>
      <c r="J2" s="256"/>
      <c r="K2" s="49">
        <f>SUM(B4,B34,B62,B90,B118,B146,B174,B202,B230,B258)</f>
        <v>0</v>
      </c>
      <c r="L2" s="12" t="s">
        <v>223</v>
      </c>
    </row>
    <row r="3" spans="1:14" ht="46.75" customHeight="1" x14ac:dyDescent="0.35">
      <c r="A3" s="204" t="s">
        <v>60</v>
      </c>
      <c r="B3" s="205" t="s">
        <v>61</v>
      </c>
      <c r="C3" s="205" t="s">
        <v>62</v>
      </c>
      <c r="D3" s="205" t="s">
        <v>63</v>
      </c>
      <c r="E3" s="205" t="s">
        <v>64</v>
      </c>
      <c r="F3" s="205" t="s">
        <v>65</v>
      </c>
      <c r="G3" s="205" t="s">
        <v>244</v>
      </c>
      <c r="H3" s="206" t="s">
        <v>13</v>
      </c>
      <c r="I3" s="255" t="s">
        <v>245</v>
      </c>
      <c r="J3" s="256"/>
      <c r="K3" s="21">
        <f>SUM(C4,C34,C62,C90,C118,C146,C174,C202,C230,C258)</f>
        <v>0</v>
      </c>
      <c r="L3" s="12" t="s">
        <v>223</v>
      </c>
    </row>
    <row r="4" spans="1:14" ht="30.75" customHeight="1" x14ac:dyDescent="0.3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8">
        <f>SUM(C30,C58,C86,C114,C142,C170,C198,C226,C254,C282)</f>
        <v>0</v>
      </c>
      <c r="L4" s="12" t="s">
        <v>2</v>
      </c>
    </row>
    <row r="5" spans="1:14" ht="13" x14ac:dyDescent="0.35">
      <c r="A5" s="241" t="s">
        <v>226</v>
      </c>
      <c r="B5" s="241"/>
      <c r="C5" s="241"/>
      <c r="D5" s="241"/>
      <c r="E5" s="241"/>
      <c r="F5" s="241"/>
      <c r="G5" s="241"/>
      <c r="H5" s="241"/>
    </row>
    <row r="6" spans="1:14" s="19" customFormat="1" ht="13" hidden="1" x14ac:dyDescent="0.35">
      <c r="A6" s="241"/>
      <c r="B6" s="241"/>
      <c r="C6" s="241"/>
      <c r="D6" s="241"/>
      <c r="E6" s="241"/>
      <c r="F6" s="241"/>
      <c r="G6" s="241"/>
      <c r="H6" s="241"/>
    </row>
    <row r="7" spans="1:14" ht="13" hidden="1" x14ac:dyDescent="0.35">
      <c r="A7" s="64"/>
      <c r="B7" s="20"/>
      <c r="C7" s="207"/>
      <c r="D7" s="257"/>
      <c r="E7" s="258"/>
      <c r="F7" s="258"/>
      <c r="G7" s="258"/>
      <c r="H7" s="259"/>
    </row>
    <row r="8" spans="1:14" ht="30.25" customHeight="1" x14ac:dyDescent="0.35">
      <c r="A8" s="245" t="s">
        <v>246</v>
      </c>
      <c r="B8" s="245"/>
      <c r="C8" s="245"/>
      <c r="D8" s="245"/>
      <c r="E8" s="245"/>
      <c r="F8" s="245"/>
      <c r="G8" s="218"/>
      <c r="H8" s="219" t="str">
        <f>IF(G8="NO","Does not meet design criteria","")</f>
        <v/>
      </c>
    </row>
    <row r="9" spans="1:14" ht="36.75" customHeight="1" x14ac:dyDescent="0.35">
      <c r="A9" s="245" t="s">
        <v>247</v>
      </c>
      <c r="B9" s="245"/>
      <c r="C9" s="245"/>
      <c r="D9" s="245"/>
      <c r="E9" s="245"/>
      <c r="F9" s="245"/>
      <c r="G9" s="218"/>
      <c r="H9" s="224" t="str">
        <f>IF(G9="","This practice cannot be used for hotspot treatment",IF(G9="Yes","Does not meet design criteria",""))</f>
        <v>This practice cannot be used for hotspot treatment</v>
      </c>
      <c r="I9" s="132"/>
      <c r="J9" s="132"/>
      <c r="N9" s="132"/>
    </row>
    <row r="10" spans="1:14" ht="30.25" customHeight="1" x14ac:dyDescent="0.35">
      <c r="A10" s="245" t="s">
        <v>249</v>
      </c>
      <c r="B10" s="245"/>
      <c r="C10" s="245"/>
      <c r="D10" s="245"/>
      <c r="E10" s="245"/>
      <c r="F10" s="245"/>
      <c r="G10" s="218"/>
      <c r="H10" s="219" t="str">
        <f>IF(G10="NO","Does not meet design criteria","")</f>
        <v/>
      </c>
    </row>
    <row r="11" spans="1:14" ht="30.25" customHeight="1" x14ac:dyDescent="0.35">
      <c r="A11" s="245" t="s">
        <v>250</v>
      </c>
      <c r="B11" s="245"/>
      <c r="C11" s="245"/>
      <c r="D11" s="245"/>
      <c r="E11" s="245"/>
      <c r="F11" s="245"/>
      <c r="G11" s="218"/>
      <c r="H11" s="219" t="str">
        <f>IF(G11="NO","Does not meet design criteria","")</f>
        <v/>
      </c>
      <c r="I11" s="234"/>
      <c r="J11" s="234"/>
      <c r="K11" s="234"/>
      <c r="L11" s="234"/>
      <c r="M11" s="234"/>
    </row>
    <row r="12" spans="1:14" ht="25.9" customHeight="1" x14ac:dyDescent="0.35">
      <c r="A12" s="242" t="s">
        <v>251</v>
      </c>
      <c r="B12" s="243"/>
      <c r="C12" s="243"/>
      <c r="D12" s="243"/>
      <c r="E12" s="243"/>
      <c r="F12" s="244"/>
      <c r="G12" s="210"/>
      <c r="H12" s="219" t="str">
        <f>IF(G12&gt;150,"Does not meet design criteria","")</f>
        <v/>
      </c>
      <c r="I12" s="199"/>
      <c r="J12" s="199"/>
      <c r="K12" s="199"/>
      <c r="L12" s="199"/>
      <c r="M12" s="199"/>
    </row>
    <row r="13" spans="1:14" ht="25.9" customHeight="1" x14ac:dyDescent="0.35">
      <c r="A13" s="242" t="s">
        <v>252</v>
      </c>
      <c r="B13" s="243"/>
      <c r="C13" s="243"/>
      <c r="D13" s="243"/>
      <c r="E13" s="243"/>
      <c r="F13" s="244"/>
      <c r="G13" s="210"/>
      <c r="H13" s="219" t="str">
        <f>IF(G13&gt;75,"Does not meet design criteria","")</f>
        <v/>
      </c>
      <c r="I13" s="199"/>
      <c r="J13" s="199"/>
      <c r="K13" s="199"/>
      <c r="L13" s="199"/>
      <c r="M13" s="199"/>
    </row>
    <row r="14" spans="1:14" ht="25.9" customHeight="1" x14ac:dyDescent="0.35">
      <c r="A14" s="242" t="s">
        <v>253</v>
      </c>
      <c r="B14" s="243"/>
      <c r="C14" s="243"/>
      <c r="D14" s="243"/>
      <c r="E14" s="243"/>
      <c r="F14" s="244"/>
      <c r="G14" s="190"/>
      <c r="H14" s="219" t="str">
        <f>IF(G14&gt;10,"Does not meet design criteria","")</f>
        <v/>
      </c>
      <c r="I14" s="199"/>
      <c r="J14" s="199"/>
      <c r="K14" s="199"/>
      <c r="L14" s="199"/>
      <c r="M14" s="199"/>
    </row>
    <row r="15" spans="1:14" ht="25.9" customHeight="1" x14ac:dyDescent="0.35">
      <c r="A15" s="242" t="s">
        <v>254</v>
      </c>
      <c r="B15" s="243"/>
      <c r="C15" s="243"/>
      <c r="D15" s="243"/>
      <c r="E15" s="243"/>
      <c r="F15" s="244"/>
      <c r="G15" s="198">
        <f>IF(G14&lt;=5,35,IF(G14&lt;=10,60,IF(G14&gt;10,"")))</f>
        <v>35</v>
      </c>
      <c r="H15" s="219" t="str">
        <f>IF(G14&gt;10,"Does not meet design criteria","")</f>
        <v/>
      </c>
      <c r="I15" s="199"/>
      <c r="J15" s="199"/>
      <c r="K15" s="199"/>
      <c r="L15" s="199"/>
      <c r="M15" s="199"/>
    </row>
    <row r="16" spans="1:14" ht="26.5" customHeight="1" x14ac:dyDescent="0.35">
      <c r="A16" s="242" t="s">
        <v>255</v>
      </c>
      <c r="B16" s="243"/>
      <c r="C16" s="243"/>
      <c r="D16" s="243"/>
      <c r="E16" s="243"/>
      <c r="F16" s="244"/>
      <c r="G16" s="190"/>
      <c r="H16" s="219" t="str">
        <f>IF(G16&gt;2,"Does not meet design criteria","")</f>
        <v/>
      </c>
      <c r="I16" s="199"/>
      <c r="J16" s="199"/>
      <c r="K16" s="199"/>
      <c r="L16" s="199"/>
      <c r="M16" s="199"/>
    </row>
    <row r="17" spans="1:16" s="4" customFormat="1" ht="15" customHeight="1" x14ac:dyDescent="0.3">
      <c r="A17" s="246" t="s">
        <v>232</v>
      </c>
      <c r="B17" s="247"/>
      <c r="C17" s="247"/>
      <c r="D17" s="247"/>
      <c r="E17" s="247"/>
      <c r="F17" s="247"/>
      <c r="G17" s="247"/>
      <c r="H17" s="247"/>
    </row>
    <row r="18" spans="1:16" s="34" customFormat="1" ht="15" customHeight="1" x14ac:dyDescent="0.3">
      <c r="A18" s="35"/>
      <c r="B18" s="36"/>
      <c r="C18" s="36"/>
      <c r="D18" s="37"/>
      <c r="E18" s="302" t="s">
        <v>256</v>
      </c>
      <c r="F18" s="302"/>
      <c r="G18" s="38" t="s">
        <v>257</v>
      </c>
      <c r="H18" s="38" t="s">
        <v>258</v>
      </c>
      <c r="I18" s="4"/>
      <c r="J18" s="4"/>
      <c r="K18" s="4"/>
      <c r="L18" s="4"/>
      <c r="M18" s="4"/>
      <c r="N18" s="4"/>
      <c r="O18" s="4"/>
      <c r="P18" s="4"/>
    </row>
    <row r="19" spans="1:16" s="4" customFormat="1" ht="28.9" customHeight="1" x14ac:dyDescent="0.25">
      <c r="A19" s="289" t="s">
        <v>259</v>
      </c>
      <c r="B19" s="289"/>
      <c r="C19" s="289"/>
      <c r="D19" s="198" t="s">
        <v>260</v>
      </c>
      <c r="E19" s="303"/>
      <c r="F19" s="304"/>
      <c r="G19" s="193" t="s">
        <v>261</v>
      </c>
      <c r="H19" s="219" t="str">
        <f>IF(E19="","",IF(E19&lt;6,"Does not meet design criteria",""))</f>
        <v/>
      </c>
    </row>
    <row r="20" spans="1:16" s="4" customFormat="1" ht="15" customHeight="1" x14ac:dyDescent="0.25">
      <c r="A20" s="289" t="s">
        <v>262</v>
      </c>
      <c r="B20" s="289"/>
      <c r="C20" s="289"/>
      <c r="D20" s="198" t="s">
        <v>263</v>
      </c>
      <c r="E20" s="314"/>
      <c r="F20" s="315"/>
      <c r="G20" s="193" t="s">
        <v>264</v>
      </c>
      <c r="H20" s="219"/>
    </row>
    <row r="21" spans="1:16" s="4" customFormat="1" ht="28.9" customHeight="1" x14ac:dyDescent="0.25">
      <c r="A21" s="266" t="s">
        <v>265</v>
      </c>
      <c r="B21" s="267"/>
      <c r="C21" s="268"/>
      <c r="D21" s="198" t="s">
        <v>214</v>
      </c>
      <c r="E21" s="314"/>
      <c r="F21" s="315"/>
      <c r="G21" s="193" t="s">
        <v>266</v>
      </c>
      <c r="H21" s="219" t="str">
        <f>IF(E21&gt;0.06,"Does not meet design criteria","")</f>
        <v/>
      </c>
    </row>
    <row r="22" spans="1:16" s="4" customFormat="1" ht="15" customHeight="1" x14ac:dyDescent="0.25">
      <c r="A22" s="289" t="s">
        <v>267</v>
      </c>
      <c r="B22" s="289"/>
      <c r="C22" s="289"/>
      <c r="D22" s="198" t="s">
        <v>268</v>
      </c>
      <c r="E22" s="314"/>
      <c r="F22" s="315"/>
      <c r="G22" s="193"/>
      <c r="H22" s="219"/>
    </row>
    <row r="23" spans="1:16" s="4" customFormat="1" ht="15" customHeight="1" x14ac:dyDescent="0.25">
      <c r="A23" s="266" t="s">
        <v>269</v>
      </c>
      <c r="B23" s="267"/>
      <c r="C23" s="268"/>
      <c r="D23" s="198" t="s">
        <v>270</v>
      </c>
      <c r="E23" s="308" t="e">
        <f>ROUND(((E19^1.25)*(E20^0.625)*(E21^0.5))/(0.338*E22),0)</f>
        <v>#DIV/0!</v>
      </c>
      <c r="F23" s="308"/>
      <c r="G23" s="193" t="s">
        <v>271</v>
      </c>
      <c r="H23" s="219"/>
    </row>
    <row r="24" spans="1:16" s="4" customFormat="1" ht="15" customHeight="1" x14ac:dyDescent="0.25">
      <c r="A24" s="266" t="s">
        <v>272</v>
      </c>
      <c r="B24" s="267"/>
      <c r="C24" s="268"/>
      <c r="D24" s="198" t="s">
        <v>270</v>
      </c>
      <c r="E24" s="308" t="e">
        <f>ROUND(IF(E23&gt;G15,E23,IF(E23&lt;G15,G15)),0)</f>
        <v>#DIV/0!</v>
      </c>
      <c r="F24" s="308"/>
      <c r="G24" s="193" t="s">
        <v>271</v>
      </c>
      <c r="H24" s="219"/>
    </row>
    <row r="25" spans="1:16" s="4" customFormat="1" ht="15" customHeight="1" x14ac:dyDescent="0.25">
      <c r="A25" s="266" t="s">
        <v>273</v>
      </c>
      <c r="B25" s="267"/>
      <c r="C25" s="267"/>
      <c r="D25" s="268"/>
      <c r="E25" s="306"/>
      <c r="F25" s="307"/>
      <c r="G25" s="266"/>
      <c r="H25" s="268"/>
    </row>
    <row r="26" spans="1:16" s="4" customFormat="1" ht="15" customHeight="1" x14ac:dyDescent="0.25">
      <c r="A26" s="266" t="s">
        <v>274</v>
      </c>
      <c r="B26" s="267"/>
      <c r="C26" s="268"/>
      <c r="D26" s="198" t="s">
        <v>270</v>
      </c>
      <c r="E26" s="308" t="e">
        <f>ROUND(IF(E25="YES",E24*1.15,E24),0)</f>
        <v>#DIV/0!</v>
      </c>
      <c r="F26" s="308"/>
      <c r="G26" s="193" t="s">
        <v>271</v>
      </c>
      <c r="H26" s="219"/>
    </row>
    <row r="27" spans="1:16" s="4" customFormat="1" ht="27" customHeight="1" x14ac:dyDescent="0.25">
      <c r="A27" s="266" t="s">
        <v>275</v>
      </c>
      <c r="B27" s="267"/>
      <c r="C27" s="268"/>
      <c r="D27" s="198" t="s">
        <v>270</v>
      </c>
      <c r="E27" s="305"/>
      <c r="F27" s="305"/>
      <c r="G27" s="193" t="s">
        <v>271</v>
      </c>
      <c r="H27" s="219" t="str">
        <f>IF(E27="","",IF(E23&gt;E27,"Does not meet design criteria",""))</f>
        <v/>
      </c>
    </row>
    <row r="28" spans="1:16" s="4" customFormat="1" ht="13.15" customHeight="1" x14ac:dyDescent="0.25">
      <c r="A28" s="313"/>
      <c r="B28" s="313"/>
      <c r="C28" s="313"/>
      <c r="D28" s="313"/>
      <c r="E28" s="313"/>
      <c r="F28" s="313"/>
      <c r="G28" s="313"/>
      <c r="H28" s="313"/>
    </row>
    <row r="29" spans="1:16" s="4" customFormat="1" ht="15" customHeight="1" x14ac:dyDescent="0.25">
      <c r="A29" s="236" t="s">
        <v>276</v>
      </c>
      <c r="B29" s="237"/>
      <c r="C29" s="237"/>
      <c r="D29" s="237"/>
      <c r="E29" s="237"/>
      <c r="F29" s="237"/>
      <c r="G29" s="237"/>
      <c r="H29" s="238"/>
    </row>
    <row r="30" spans="1:16" s="34" customFormat="1" ht="13" x14ac:dyDescent="0.3">
      <c r="A30" s="239" t="s">
        <v>241</v>
      </c>
      <c r="B30" s="239"/>
      <c r="C30" s="9" t="str">
        <f>IF(G9="Yes",0,IF(F4="","",IF(B4="",0,IF(G8="NO",0,IF(G10="NO",0,IF(G11="NO",0,IF(G12&gt;150,0,IF(G13&gt;75,0,IF(G14&gt;10,0,IF(G16&gt;2,0,IF(E27&lt;E26,0,F4)))))))))))</f>
        <v/>
      </c>
      <c r="D30" s="310" t="s">
        <v>2</v>
      </c>
      <c r="E30" s="311"/>
      <c r="F30" s="311"/>
      <c r="G30" s="311"/>
      <c r="H30" s="312"/>
      <c r="I30" s="4"/>
      <c r="J30" s="4"/>
      <c r="K30" s="4"/>
      <c r="L30" s="4"/>
      <c r="M30" s="4"/>
      <c r="N30" s="4"/>
      <c r="O30" s="4"/>
      <c r="P30" s="4"/>
    </row>
    <row r="31" spans="1:16" ht="13" x14ac:dyDescent="0.35">
      <c r="A31" s="16" t="s">
        <v>56</v>
      </c>
      <c r="B31" s="225" t="str">
        <f>IF('STEP 2-WQv Calculation'!$B$4="","",'STEP 2-WQv Calculation'!$B$4)</f>
        <v/>
      </c>
    </row>
    <row r="32" spans="1:16" ht="13.15" customHeight="1" x14ac:dyDescent="0.35">
      <c r="A32" s="309" t="s">
        <v>243</v>
      </c>
      <c r="B32" s="309"/>
      <c r="C32" s="309"/>
      <c r="D32" s="309"/>
      <c r="E32" s="309"/>
      <c r="F32" s="309"/>
      <c r="G32" s="309"/>
      <c r="H32" s="309"/>
    </row>
    <row r="33" spans="1:11" ht="52.9" customHeight="1" x14ac:dyDescent="0.35">
      <c r="A33" s="204" t="s">
        <v>60</v>
      </c>
      <c r="B33" s="205" t="s">
        <v>61</v>
      </c>
      <c r="C33" s="205" t="s">
        <v>62</v>
      </c>
      <c r="D33" s="205" t="s">
        <v>63</v>
      </c>
      <c r="E33" s="205" t="s">
        <v>64</v>
      </c>
      <c r="F33" s="205" t="s">
        <v>65</v>
      </c>
      <c r="G33" s="205" t="s">
        <v>244</v>
      </c>
      <c r="H33" s="206" t="s">
        <v>13</v>
      </c>
    </row>
    <row r="34" spans="1:11" x14ac:dyDescent="0.35">
      <c r="A34" s="17"/>
      <c r="B34" s="18" t="str">
        <f>IF($A34="","",(LOOKUP($A34,'STEP 2-WQv Calculation'!$A$8:$A$37,'STEP 2-WQv Calculation'!$B$8:$B$37)))</f>
        <v/>
      </c>
      <c r="C34" s="18" t="str">
        <f>IF($A34="","",(LOOKUP($A34,'STEP 2-WQv Calculation'!$A$8:$A$37,'STEP 2-WQv Calculation'!$C$8:$C$37)))</f>
        <v/>
      </c>
      <c r="D34" s="53" t="str">
        <f>IF($A34="","",(LOOKUP($A34,'STEP 2-WQv Calculation'!$A$8:$A$37,'STEP 2-WQv Calculation'!$D$8:$D$37)))</f>
        <v/>
      </c>
      <c r="E34" s="18" t="str">
        <f>IF($A34="","",(LOOKUP($A34,'STEP 2-WQv Calculation'!$A$8:$A$37,'STEP 2-WQv Calculation'!$E$8:$E$37)))</f>
        <v/>
      </c>
      <c r="F34" s="42" t="str">
        <f>IF($A34="","",(LOOKUP($A34,'STEP 2-WQv Calculation'!$A$8:$A$37,'STEP 2-WQv Calculation'!$F$8:$F$37)))</f>
        <v/>
      </c>
      <c r="G34" s="18">
        <f>'STEP 2-WQv Calculation'!B5</f>
        <v>0</v>
      </c>
      <c r="H34" s="198" t="str">
        <f>IF($A34="","",(LOOKUP($A34,'STEP 2-WQv Calculation'!$A$8:$A$37,'STEP 2-WQv Calculation'!$G$8:$G$37)))</f>
        <v/>
      </c>
    </row>
    <row r="35" spans="1:11" ht="13.15" customHeight="1" x14ac:dyDescent="0.35">
      <c r="A35" s="241" t="s">
        <v>226</v>
      </c>
      <c r="B35" s="241"/>
      <c r="C35" s="241"/>
      <c r="D35" s="241"/>
      <c r="E35" s="241"/>
      <c r="F35" s="241"/>
      <c r="G35" s="241"/>
      <c r="H35" s="241"/>
    </row>
    <row r="36" spans="1:11" ht="13.15" customHeight="1" x14ac:dyDescent="0.35">
      <c r="A36" s="245" t="s">
        <v>246</v>
      </c>
      <c r="B36" s="245"/>
      <c r="C36" s="245"/>
      <c r="D36" s="245"/>
      <c r="E36" s="245"/>
      <c r="F36" s="245"/>
      <c r="G36" s="218"/>
      <c r="H36" s="219" t="str">
        <f>IF(G36="NO","Does not meet design criteria","")</f>
        <v/>
      </c>
    </row>
    <row r="37" spans="1:11" ht="11.25" customHeight="1" x14ac:dyDescent="0.35">
      <c r="A37" s="245" t="s">
        <v>247</v>
      </c>
      <c r="B37" s="245"/>
      <c r="C37" s="245"/>
      <c r="D37" s="245"/>
      <c r="E37" s="245"/>
      <c r="F37" s="245"/>
      <c r="G37" s="218"/>
      <c r="H37" s="224" t="str">
        <f>IF(G37="","This practice cannot be used for hotspot treatment",IF(G37="Yes","Does not meet design criteria",""))</f>
        <v>This practice cannot be used for hotspot treatment</v>
      </c>
      <c r="I37" s="132"/>
      <c r="J37" s="132"/>
      <c r="K37" s="132"/>
    </row>
    <row r="38" spans="1:11" ht="13.15" customHeight="1" x14ac:dyDescent="0.35">
      <c r="A38" s="245" t="s">
        <v>249</v>
      </c>
      <c r="B38" s="245"/>
      <c r="C38" s="245"/>
      <c r="D38" s="245"/>
      <c r="E38" s="245"/>
      <c r="F38" s="245"/>
      <c r="G38" s="218"/>
      <c r="H38" s="219" t="str">
        <f>IF(G38="NO","Does not meet design criteria","")</f>
        <v/>
      </c>
    </row>
    <row r="39" spans="1:11" ht="13.15" customHeight="1" x14ac:dyDescent="0.35">
      <c r="A39" s="245" t="s">
        <v>250</v>
      </c>
      <c r="B39" s="245"/>
      <c r="C39" s="245"/>
      <c r="D39" s="245"/>
      <c r="E39" s="245"/>
      <c r="F39" s="245"/>
      <c r="G39" s="218"/>
      <c r="H39" s="219" t="str">
        <f>IF(G39="NO","Does not meet design criteria","")</f>
        <v/>
      </c>
    </row>
    <row r="40" spans="1:11" ht="13.15" customHeight="1" x14ac:dyDescent="0.35">
      <c r="A40" s="242" t="s">
        <v>251</v>
      </c>
      <c r="B40" s="243"/>
      <c r="C40" s="243"/>
      <c r="D40" s="243"/>
      <c r="E40" s="243"/>
      <c r="F40" s="244"/>
      <c r="G40" s="210"/>
      <c r="H40" s="219" t="str">
        <f>IF(G40&gt;150,"Does not meet design criteria","")</f>
        <v/>
      </c>
    </row>
    <row r="41" spans="1:11" ht="13.15" customHeight="1" x14ac:dyDescent="0.35">
      <c r="A41" s="242" t="s">
        <v>252</v>
      </c>
      <c r="B41" s="243"/>
      <c r="C41" s="243"/>
      <c r="D41" s="243"/>
      <c r="E41" s="243"/>
      <c r="F41" s="244"/>
      <c r="G41" s="210"/>
      <c r="H41" s="219" t="str">
        <f>IF(G41&gt;75,"Does not meet design criteria","")</f>
        <v/>
      </c>
    </row>
    <row r="42" spans="1:11" ht="13.15" customHeight="1" x14ac:dyDescent="0.35">
      <c r="A42" s="242" t="s">
        <v>253</v>
      </c>
      <c r="B42" s="243"/>
      <c r="C42" s="243"/>
      <c r="D42" s="243"/>
      <c r="E42" s="243"/>
      <c r="F42" s="244"/>
      <c r="G42" s="190"/>
      <c r="H42" s="219" t="str">
        <f>IF(G42&gt;10,"Does not meet design criteria","")</f>
        <v/>
      </c>
    </row>
    <row r="43" spans="1:11" ht="13.15" customHeight="1" x14ac:dyDescent="0.35">
      <c r="A43" s="242" t="s">
        <v>254</v>
      </c>
      <c r="B43" s="243"/>
      <c r="C43" s="243"/>
      <c r="D43" s="243"/>
      <c r="E43" s="243"/>
      <c r="F43" s="244"/>
      <c r="G43" s="212">
        <f>IF(G42&lt;=5,35,IF(G42&lt;=10,60,IF(G42&gt;10,"")))</f>
        <v>35</v>
      </c>
      <c r="H43" s="219" t="str">
        <f>IF(G42&gt;10,"Does not meet design criteria","")</f>
        <v/>
      </c>
    </row>
    <row r="44" spans="1:11" ht="13.15" customHeight="1" x14ac:dyDescent="0.35">
      <c r="A44" s="242" t="s">
        <v>255</v>
      </c>
      <c r="B44" s="243"/>
      <c r="C44" s="243"/>
      <c r="D44" s="243"/>
      <c r="E44" s="243"/>
      <c r="F44" s="244"/>
      <c r="G44" s="190"/>
      <c r="H44" s="219" t="str">
        <f>IF(G44&gt;2,"Does not meet design criteria","")</f>
        <v/>
      </c>
    </row>
    <row r="45" spans="1:11" ht="13.15" customHeight="1" x14ac:dyDescent="0.3">
      <c r="A45" s="246" t="s">
        <v>232</v>
      </c>
      <c r="B45" s="247"/>
      <c r="C45" s="247"/>
      <c r="D45" s="247"/>
      <c r="E45" s="247"/>
      <c r="F45" s="247"/>
      <c r="G45" s="247"/>
      <c r="H45" s="247"/>
    </row>
    <row r="46" spans="1:11" ht="13" x14ac:dyDescent="0.35">
      <c r="A46" s="35"/>
      <c r="B46" s="36"/>
      <c r="C46" s="36"/>
      <c r="D46" s="37"/>
      <c r="E46" s="302" t="s">
        <v>256</v>
      </c>
      <c r="F46" s="302"/>
      <c r="G46" s="38" t="s">
        <v>257</v>
      </c>
      <c r="H46" s="38" t="s">
        <v>258</v>
      </c>
    </row>
    <row r="47" spans="1:11" ht="13.15" customHeight="1" x14ac:dyDescent="0.35">
      <c r="A47" s="289" t="s">
        <v>259</v>
      </c>
      <c r="B47" s="289"/>
      <c r="C47" s="289"/>
      <c r="D47" s="133" t="s">
        <v>260</v>
      </c>
      <c r="E47" s="303"/>
      <c r="F47" s="304"/>
      <c r="G47" s="193" t="s">
        <v>261</v>
      </c>
      <c r="H47" s="219" t="str">
        <f>IF(E47="","",IF(E47&lt;6,"Does not meet design criteria",""))</f>
        <v/>
      </c>
    </row>
    <row r="48" spans="1:11" ht="13.15" customHeight="1" x14ac:dyDescent="0.35">
      <c r="A48" s="289" t="s">
        <v>262</v>
      </c>
      <c r="B48" s="289"/>
      <c r="C48" s="289"/>
      <c r="D48" s="133" t="s">
        <v>263</v>
      </c>
      <c r="E48" s="314"/>
      <c r="F48" s="315"/>
      <c r="G48" s="193" t="s">
        <v>264</v>
      </c>
      <c r="H48" s="219"/>
    </row>
    <row r="49" spans="1:8" ht="13.15" customHeight="1" x14ac:dyDescent="0.35">
      <c r="A49" s="266" t="s">
        <v>265</v>
      </c>
      <c r="B49" s="267"/>
      <c r="C49" s="268"/>
      <c r="D49" s="133" t="s">
        <v>214</v>
      </c>
      <c r="E49" s="314"/>
      <c r="F49" s="315"/>
      <c r="G49" s="193" t="s">
        <v>266</v>
      </c>
      <c r="H49" s="219" t="str">
        <f>IF(E49&gt;0.06,"Does not meet design criteria","")</f>
        <v/>
      </c>
    </row>
    <row r="50" spans="1:8" ht="13.15" customHeight="1" x14ac:dyDescent="0.35">
      <c r="A50" s="289" t="s">
        <v>267</v>
      </c>
      <c r="B50" s="289"/>
      <c r="C50" s="289"/>
      <c r="D50" s="133" t="s">
        <v>268</v>
      </c>
      <c r="E50" s="314"/>
      <c r="F50" s="315"/>
      <c r="G50" s="193"/>
      <c r="H50" s="219"/>
    </row>
    <row r="51" spans="1:8" ht="13.15" customHeight="1" x14ac:dyDescent="0.35">
      <c r="A51" s="266" t="s">
        <v>269</v>
      </c>
      <c r="B51" s="267"/>
      <c r="C51" s="268"/>
      <c r="D51" s="133" t="s">
        <v>270</v>
      </c>
      <c r="E51" s="308" t="e">
        <f>ROUND(((E47^1.25)*(E48^0.625)*(E49^0.5))/(0.338*E50),0)</f>
        <v>#DIV/0!</v>
      </c>
      <c r="F51" s="308"/>
      <c r="G51" s="193" t="s">
        <v>271</v>
      </c>
      <c r="H51" s="219"/>
    </row>
    <row r="52" spans="1:8" ht="13.15" customHeight="1" x14ac:dyDescent="0.35">
      <c r="A52" s="266" t="s">
        <v>272</v>
      </c>
      <c r="B52" s="267"/>
      <c r="C52" s="268"/>
      <c r="D52" s="133" t="s">
        <v>270</v>
      </c>
      <c r="E52" s="308" t="e">
        <f>ROUND(IF(E51&gt;G43,E51,IF(E51&lt;G43,G43)),0)</f>
        <v>#DIV/0!</v>
      </c>
      <c r="F52" s="308"/>
      <c r="G52" s="193" t="s">
        <v>271</v>
      </c>
      <c r="H52" s="219"/>
    </row>
    <row r="53" spans="1:8" ht="13.15" customHeight="1" x14ac:dyDescent="0.35">
      <c r="A53" s="266" t="s">
        <v>273</v>
      </c>
      <c r="B53" s="267"/>
      <c r="C53" s="267"/>
      <c r="D53" s="268"/>
      <c r="E53" s="306"/>
      <c r="F53" s="307"/>
      <c r="G53" s="266"/>
      <c r="H53" s="268"/>
    </row>
    <row r="54" spans="1:8" ht="13.15" customHeight="1" x14ac:dyDescent="0.35">
      <c r="A54" s="266" t="s">
        <v>274</v>
      </c>
      <c r="B54" s="267"/>
      <c r="C54" s="268"/>
      <c r="D54" s="133" t="s">
        <v>270</v>
      </c>
      <c r="E54" s="308" t="e">
        <f>ROUND(IF(E53="YES",E52*1.15,E52),0)</f>
        <v>#DIV/0!</v>
      </c>
      <c r="F54" s="308"/>
      <c r="G54" s="193" t="s">
        <v>271</v>
      </c>
      <c r="H54" s="219"/>
    </row>
    <row r="55" spans="1:8" ht="13.15" customHeight="1" x14ac:dyDescent="0.35">
      <c r="A55" s="266" t="s">
        <v>275</v>
      </c>
      <c r="B55" s="267"/>
      <c r="C55" s="268"/>
      <c r="D55" s="133" t="s">
        <v>270</v>
      </c>
      <c r="E55" s="305"/>
      <c r="F55" s="305"/>
      <c r="G55" s="193" t="s">
        <v>271</v>
      </c>
      <c r="H55" s="219" t="str">
        <f>IF(E55="","",IF(E51&gt;E55,"Does not meet design criteria",""))</f>
        <v/>
      </c>
    </row>
    <row r="56" spans="1:8" x14ac:dyDescent="0.35">
      <c r="A56" s="313"/>
      <c r="B56" s="313"/>
      <c r="C56" s="313"/>
      <c r="D56" s="313"/>
      <c r="E56" s="313"/>
      <c r="F56" s="313"/>
      <c r="G56" s="313"/>
      <c r="H56" s="313"/>
    </row>
    <row r="57" spans="1:8" ht="13.15" customHeight="1" x14ac:dyDescent="0.35">
      <c r="A57" s="236" t="s">
        <v>276</v>
      </c>
      <c r="B57" s="237"/>
      <c r="C57" s="237"/>
      <c r="D57" s="237"/>
      <c r="E57" s="237"/>
      <c r="F57" s="237"/>
      <c r="G57" s="237"/>
      <c r="H57" s="238"/>
    </row>
    <row r="58" spans="1:8" ht="13.15" customHeight="1" x14ac:dyDescent="0.35">
      <c r="A58" s="239" t="s">
        <v>241</v>
      </c>
      <c r="B58" s="239"/>
      <c r="C58" s="9" t="str">
        <f>IF(G37="Yes",0,IF(F34="","",IF(B34="",0,IF(G36="NO",0,IF(G38="NO",0,IF(G39="NO",0,IF(G40&gt;150,0,IF(G41&gt;75,0,IF(G42&gt;10,0,IF(G44&gt;2,0,IF(E55&lt;E54,0,F34)))))))))))</f>
        <v/>
      </c>
      <c r="D58" s="310" t="s">
        <v>2</v>
      </c>
      <c r="E58" s="311"/>
      <c r="F58" s="311"/>
      <c r="G58" s="311"/>
      <c r="H58" s="312"/>
    </row>
    <row r="59" spans="1:8" ht="13" x14ac:dyDescent="0.35">
      <c r="A59" s="16" t="s">
        <v>56</v>
      </c>
      <c r="B59" s="225" t="str">
        <f>IF('STEP 2-WQv Calculation'!$B$4="","",'STEP 2-WQv Calculation'!$B$4)</f>
        <v/>
      </c>
    </row>
    <row r="60" spans="1:8" ht="13.15" customHeight="1" x14ac:dyDescent="0.35">
      <c r="A60" s="309" t="s">
        <v>243</v>
      </c>
      <c r="B60" s="309"/>
      <c r="C60" s="309"/>
      <c r="D60" s="309"/>
      <c r="E60" s="309"/>
      <c r="F60" s="309"/>
      <c r="G60" s="309"/>
      <c r="H60" s="309"/>
    </row>
    <row r="61" spans="1:8" ht="52.9" customHeight="1" x14ac:dyDescent="0.35">
      <c r="A61" s="204" t="s">
        <v>60</v>
      </c>
      <c r="B61" s="205" t="s">
        <v>61</v>
      </c>
      <c r="C61" s="205" t="s">
        <v>62</v>
      </c>
      <c r="D61" s="205" t="s">
        <v>63</v>
      </c>
      <c r="E61" s="205" t="s">
        <v>64</v>
      </c>
      <c r="F61" s="205" t="s">
        <v>65</v>
      </c>
      <c r="G61" s="205" t="s">
        <v>244</v>
      </c>
      <c r="H61" s="206" t="s">
        <v>13</v>
      </c>
    </row>
    <row r="62" spans="1:8" x14ac:dyDescent="0.35">
      <c r="A62" s="17"/>
      <c r="B62" s="18" t="str">
        <f>IF($A62="","",(LOOKUP($A62,'STEP 2-WQv Calculation'!$A$8:$A$37,'STEP 2-WQv Calculation'!$B$8:$B$37)))</f>
        <v/>
      </c>
      <c r="C62" s="18" t="str">
        <f>IF($A62="","",(LOOKUP($A62,'STEP 2-WQv Calculation'!$A$8:$A$37,'STEP 2-WQv Calculation'!$C$8:$C$37)))</f>
        <v/>
      </c>
      <c r="D62" s="53" t="str">
        <f>IF($A62="","",(LOOKUP($A62,'STEP 2-WQv Calculation'!$A$8:$A$37,'STEP 2-WQv Calculation'!$D$8:$D$37)))</f>
        <v/>
      </c>
      <c r="E62" s="18" t="str">
        <f>IF($A62="","",(LOOKUP($A62,'STEP 2-WQv Calculation'!$A$8:$A$37,'STEP 2-WQv Calculation'!$E$8:$E$37)))</f>
        <v/>
      </c>
      <c r="F62" s="42" t="str">
        <f>IF($A62="","",(LOOKUP($A62,'STEP 2-WQv Calculation'!$A$8:$A$37,'STEP 2-WQv Calculation'!$F$8:$F$37)))</f>
        <v/>
      </c>
      <c r="G62" s="18">
        <f>'STEP 2-WQv Calculation'!B5</f>
        <v>0</v>
      </c>
      <c r="H62" s="29" t="str">
        <f>IF($A62="","",(LOOKUP($A62,'STEP 2-WQv Calculation'!$A$8:$A$37,'STEP 2-WQv Calculation'!$G$8:$G$37)))</f>
        <v/>
      </c>
    </row>
    <row r="63" spans="1:8" ht="13.15" customHeight="1" x14ac:dyDescent="0.35">
      <c r="A63" s="241" t="s">
        <v>226</v>
      </c>
      <c r="B63" s="241"/>
      <c r="C63" s="241"/>
      <c r="D63" s="241"/>
      <c r="E63" s="241"/>
      <c r="F63" s="241"/>
      <c r="G63" s="241"/>
      <c r="H63" s="241"/>
    </row>
    <row r="64" spans="1:8" ht="13.15" customHeight="1" x14ac:dyDescent="0.35">
      <c r="A64" s="245" t="s">
        <v>246</v>
      </c>
      <c r="B64" s="245"/>
      <c r="C64" s="245"/>
      <c r="D64" s="245"/>
      <c r="E64" s="245"/>
      <c r="F64" s="245"/>
      <c r="G64" s="218"/>
      <c r="H64" s="219" t="str">
        <f>IF(G64="NO","Does not meet design criteria","")</f>
        <v/>
      </c>
    </row>
    <row r="65" spans="1:11" ht="11.25" customHeight="1" x14ac:dyDescent="0.35">
      <c r="A65" s="245" t="s">
        <v>247</v>
      </c>
      <c r="B65" s="245"/>
      <c r="C65" s="245"/>
      <c r="D65" s="245"/>
      <c r="E65" s="245"/>
      <c r="F65" s="245"/>
      <c r="G65" s="218"/>
      <c r="H65" s="224" t="str">
        <f>IF(G65="","This practice cannot be used for hotspot treatment",IF(G65="Yes","Does not meet design criteria",""))</f>
        <v>This practice cannot be used for hotspot treatment</v>
      </c>
      <c r="I65" s="132"/>
      <c r="J65" s="132"/>
      <c r="K65" s="132"/>
    </row>
    <row r="66" spans="1:11" ht="13.15" customHeight="1" x14ac:dyDescent="0.35">
      <c r="A66" s="245" t="s">
        <v>249</v>
      </c>
      <c r="B66" s="245"/>
      <c r="C66" s="245"/>
      <c r="D66" s="245"/>
      <c r="E66" s="245"/>
      <c r="F66" s="245"/>
      <c r="G66" s="218"/>
      <c r="H66" s="219" t="str">
        <f>IF(G66="NO","Does not meet design criteria","")</f>
        <v/>
      </c>
    </row>
    <row r="67" spans="1:11" ht="13.15" customHeight="1" x14ac:dyDescent="0.35">
      <c r="A67" s="245" t="s">
        <v>250</v>
      </c>
      <c r="B67" s="245"/>
      <c r="C67" s="245"/>
      <c r="D67" s="245"/>
      <c r="E67" s="245"/>
      <c r="F67" s="245"/>
      <c r="G67" s="218"/>
      <c r="H67" s="219" t="str">
        <f>IF(G67="NO","Does not meet design criteria","")</f>
        <v/>
      </c>
    </row>
    <row r="68" spans="1:11" ht="13.15" customHeight="1" x14ac:dyDescent="0.35">
      <c r="A68" s="242" t="s">
        <v>251</v>
      </c>
      <c r="B68" s="243"/>
      <c r="C68" s="243"/>
      <c r="D68" s="243"/>
      <c r="E68" s="243"/>
      <c r="F68" s="244"/>
      <c r="G68" s="210"/>
      <c r="H68" s="219" t="str">
        <f>IF(G68&gt;150,"Does not meet design criteria","")</f>
        <v/>
      </c>
    </row>
    <row r="69" spans="1:11" ht="13.15" customHeight="1" x14ac:dyDescent="0.35">
      <c r="A69" s="242" t="s">
        <v>252</v>
      </c>
      <c r="B69" s="243"/>
      <c r="C69" s="243"/>
      <c r="D69" s="243"/>
      <c r="E69" s="243"/>
      <c r="F69" s="244"/>
      <c r="G69" s="210"/>
      <c r="H69" s="219" t="str">
        <f>IF(G69&gt;75,"Does not meet design criteria","")</f>
        <v/>
      </c>
    </row>
    <row r="70" spans="1:11" ht="13.15" customHeight="1" x14ac:dyDescent="0.35">
      <c r="A70" s="242" t="s">
        <v>253</v>
      </c>
      <c r="B70" s="243"/>
      <c r="C70" s="243"/>
      <c r="D70" s="243"/>
      <c r="E70" s="243"/>
      <c r="F70" s="244"/>
      <c r="G70" s="210"/>
      <c r="H70" s="219" t="str">
        <f>IF(G70&gt;10,"Does not meet design criteria","")</f>
        <v/>
      </c>
    </row>
    <row r="71" spans="1:11" ht="13.15" customHeight="1" x14ac:dyDescent="0.35">
      <c r="A71" s="242" t="s">
        <v>254</v>
      </c>
      <c r="B71" s="243"/>
      <c r="C71" s="243"/>
      <c r="D71" s="243"/>
      <c r="E71" s="243"/>
      <c r="F71" s="244"/>
      <c r="G71" s="212">
        <f>IF(G70&lt;=5,35,IF(G70&lt;=10,60,IF(G70&gt;10,"")))</f>
        <v>35</v>
      </c>
      <c r="H71" s="219" t="str">
        <f>IF(G70&gt;10,"Does not meet design criteria","")</f>
        <v/>
      </c>
    </row>
    <row r="72" spans="1:11" ht="13.15" customHeight="1" x14ac:dyDescent="0.35">
      <c r="A72" s="242" t="s">
        <v>255</v>
      </c>
      <c r="B72" s="243"/>
      <c r="C72" s="243"/>
      <c r="D72" s="243"/>
      <c r="E72" s="243"/>
      <c r="F72" s="244"/>
      <c r="G72" s="210"/>
      <c r="H72" s="219" t="str">
        <f>IF(G72&gt;2,"Does not meet design criteria","")</f>
        <v/>
      </c>
    </row>
    <row r="73" spans="1:11" ht="13.15" customHeight="1" x14ac:dyDescent="0.3">
      <c r="A73" s="246" t="s">
        <v>232</v>
      </c>
      <c r="B73" s="247"/>
      <c r="C73" s="247"/>
      <c r="D73" s="247"/>
      <c r="E73" s="247"/>
      <c r="F73" s="247"/>
      <c r="G73" s="247"/>
      <c r="H73" s="247"/>
    </row>
    <row r="74" spans="1:11" ht="13" x14ac:dyDescent="0.35">
      <c r="A74" s="35"/>
      <c r="B74" s="36"/>
      <c r="C74" s="36"/>
      <c r="D74" s="37"/>
      <c r="E74" s="302" t="s">
        <v>256</v>
      </c>
      <c r="F74" s="302"/>
      <c r="G74" s="38" t="s">
        <v>257</v>
      </c>
      <c r="H74" s="38" t="s">
        <v>258</v>
      </c>
    </row>
    <row r="75" spans="1:11" ht="13.15" customHeight="1" x14ac:dyDescent="0.35">
      <c r="A75" s="289" t="s">
        <v>259</v>
      </c>
      <c r="B75" s="289"/>
      <c r="C75" s="289"/>
      <c r="D75" s="133" t="s">
        <v>260</v>
      </c>
      <c r="E75" s="303"/>
      <c r="F75" s="304"/>
      <c r="G75" s="193" t="s">
        <v>261</v>
      </c>
      <c r="H75" s="219" t="str">
        <f>IF(E75="","",IF(E75&lt;6,"Does not meet design criteria",""))</f>
        <v/>
      </c>
    </row>
    <row r="76" spans="1:11" ht="13.15" customHeight="1" x14ac:dyDescent="0.35">
      <c r="A76" s="289" t="s">
        <v>262</v>
      </c>
      <c r="B76" s="289"/>
      <c r="C76" s="289"/>
      <c r="D76" s="133" t="s">
        <v>263</v>
      </c>
      <c r="E76" s="314"/>
      <c r="F76" s="315"/>
      <c r="G76" s="193" t="s">
        <v>264</v>
      </c>
      <c r="H76" s="219"/>
    </row>
    <row r="77" spans="1:11" ht="13.15" customHeight="1" x14ac:dyDescent="0.35">
      <c r="A77" s="266" t="s">
        <v>265</v>
      </c>
      <c r="B77" s="267"/>
      <c r="C77" s="268"/>
      <c r="D77" s="133" t="s">
        <v>214</v>
      </c>
      <c r="E77" s="314"/>
      <c r="F77" s="315"/>
      <c r="G77" s="193" t="s">
        <v>266</v>
      </c>
      <c r="H77" s="219" t="str">
        <f>IF(E77&gt;0.06,"Does not meet design criteria","")</f>
        <v/>
      </c>
    </row>
    <row r="78" spans="1:11" ht="13.15" customHeight="1" x14ac:dyDescent="0.35">
      <c r="A78" s="289" t="s">
        <v>267</v>
      </c>
      <c r="B78" s="289"/>
      <c r="C78" s="289"/>
      <c r="D78" s="133" t="s">
        <v>268</v>
      </c>
      <c r="E78" s="314"/>
      <c r="F78" s="315"/>
      <c r="G78" s="193"/>
      <c r="H78" s="219"/>
    </row>
    <row r="79" spans="1:11" ht="13.15" customHeight="1" x14ac:dyDescent="0.35">
      <c r="A79" s="266" t="s">
        <v>269</v>
      </c>
      <c r="B79" s="267"/>
      <c r="C79" s="268"/>
      <c r="D79" s="133" t="s">
        <v>270</v>
      </c>
      <c r="E79" s="308" t="e">
        <f>ROUND(((E75^1.25)*(E76^0.625)*(E77^0.5))/(0.338*E78),0)</f>
        <v>#DIV/0!</v>
      </c>
      <c r="F79" s="308"/>
      <c r="G79" s="193" t="s">
        <v>271</v>
      </c>
      <c r="H79" s="219"/>
    </row>
    <row r="80" spans="1:11" ht="13.15" customHeight="1" x14ac:dyDescent="0.35">
      <c r="A80" s="266" t="s">
        <v>272</v>
      </c>
      <c r="B80" s="267"/>
      <c r="C80" s="268"/>
      <c r="D80" s="133" t="s">
        <v>270</v>
      </c>
      <c r="E80" s="308" t="e">
        <f>ROUND(IF(E79&gt;G71,E79,IF(E79&lt;G71,G71)),0)</f>
        <v>#DIV/0!</v>
      </c>
      <c r="F80" s="308"/>
      <c r="G80" s="193" t="s">
        <v>271</v>
      </c>
      <c r="H80" s="219"/>
    </row>
    <row r="81" spans="1:11" ht="13.15" customHeight="1" x14ac:dyDescent="0.35">
      <c r="A81" s="266" t="s">
        <v>273</v>
      </c>
      <c r="B81" s="267"/>
      <c r="C81" s="267"/>
      <c r="D81" s="268"/>
      <c r="E81" s="306"/>
      <c r="F81" s="307"/>
      <c r="G81" s="266"/>
      <c r="H81" s="268"/>
    </row>
    <row r="82" spans="1:11" ht="13.15" customHeight="1" x14ac:dyDescent="0.35">
      <c r="A82" s="266" t="s">
        <v>274</v>
      </c>
      <c r="B82" s="267"/>
      <c r="C82" s="268"/>
      <c r="D82" s="133" t="s">
        <v>270</v>
      </c>
      <c r="E82" s="308" t="e">
        <f>ROUND(IF(E81="YES",E80*1.15,E80),0)</f>
        <v>#DIV/0!</v>
      </c>
      <c r="F82" s="308"/>
      <c r="G82" s="193" t="s">
        <v>271</v>
      </c>
      <c r="H82" s="219"/>
    </row>
    <row r="83" spans="1:11" ht="13.15" customHeight="1" x14ac:dyDescent="0.35">
      <c r="A83" s="266" t="s">
        <v>275</v>
      </c>
      <c r="B83" s="267"/>
      <c r="C83" s="268"/>
      <c r="D83" s="133" t="s">
        <v>270</v>
      </c>
      <c r="E83" s="305"/>
      <c r="F83" s="305"/>
      <c r="G83" s="193" t="s">
        <v>271</v>
      </c>
      <c r="H83" s="219" t="str">
        <f>IF(E83="","",IF(E79&gt;E83,"Does not meet design criteria",""))</f>
        <v/>
      </c>
    </row>
    <row r="84" spans="1:11" x14ac:dyDescent="0.35">
      <c r="A84" s="313"/>
      <c r="B84" s="313"/>
      <c r="C84" s="313"/>
      <c r="D84" s="313"/>
      <c r="E84" s="313"/>
      <c r="F84" s="313"/>
      <c r="G84" s="313"/>
      <c r="H84" s="313"/>
    </row>
    <row r="85" spans="1:11" ht="13.15" customHeight="1" x14ac:dyDescent="0.35">
      <c r="A85" s="236" t="s">
        <v>276</v>
      </c>
      <c r="B85" s="237"/>
      <c r="C85" s="237"/>
      <c r="D85" s="237"/>
      <c r="E85" s="237"/>
      <c r="F85" s="237"/>
      <c r="G85" s="237"/>
      <c r="H85" s="238"/>
    </row>
    <row r="86" spans="1:11" ht="13.15" customHeight="1" x14ac:dyDescent="0.35">
      <c r="A86" s="239" t="s">
        <v>241</v>
      </c>
      <c r="B86" s="239"/>
      <c r="C86" s="9" t="str">
        <f>IF(G65="Yes",0,IF(F62="","",IF(B62="",0,IF(G64="NO",0,IF(G66="NO",0,IF(G67="NO",0,IF(G68&gt;150,0,IF(G69&gt;75,0,IF(G70&gt;10,0,IF(G72&gt;2,0,IF(E83&lt;E82,0,F62)))))))))))</f>
        <v/>
      </c>
      <c r="D86" s="310" t="s">
        <v>2</v>
      </c>
      <c r="E86" s="311"/>
      <c r="F86" s="311"/>
      <c r="G86" s="311"/>
      <c r="H86" s="312"/>
    </row>
    <row r="87" spans="1:11" ht="13" x14ac:dyDescent="0.35">
      <c r="A87" s="16" t="s">
        <v>56</v>
      </c>
      <c r="B87" s="225" t="str">
        <f>IF('STEP 2-WQv Calculation'!$B$4="","",'STEP 2-WQv Calculation'!$B$4)</f>
        <v/>
      </c>
    </row>
    <row r="88" spans="1:11" ht="13.15" customHeight="1" x14ac:dyDescent="0.35">
      <c r="A88" s="309" t="s">
        <v>243</v>
      </c>
      <c r="B88" s="309"/>
      <c r="C88" s="309"/>
      <c r="D88" s="309"/>
      <c r="E88" s="309"/>
      <c r="F88" s="309"/>
      <c r="G88" s="309"/>
      <c r="H88" s="309"/>
    </row>
    <row r="89" spans="1:11" ht="52.9" customHeight="1" x14ac:dyDescent="0.35">
      <c r="A89" s="204" t="s">
        <v>60</v>
      </c>
      <c r="B89" s="205" t="s">
        <v>61</v>
      </c>
      <c r="C89" s="205" t="s">
        <v>62</v>
      </c>
      <c r="D89" s="205" t="s">
        <v>63</v>
      </c>
      <c r="E89" s="205" t="s">
        <v>64</v>
      </c>
      <c r="F89" s="205" t="s">
        <v>65</v>
      </c>
      <c r="G89" s="205" t="s">
        <v>244</v>
      </c>
      <c r="H89" s="206" t="s">
        <v>13</v>
      </c>
    </row>
    <row r="90" spans="1:11" x14ac:dyDescent="0.35">
      <c r="A90" s="17"/>
      <c r="B90" s="18" t="str">
        <f>IF($A90="","",(LOOKUP($A90,'STEP 2-WQv Calculation'!$A$8:$A$37,'STEP 2-WQv Calculation'!$B$8:$B$37)))</f>
        <v/>
      </c>
      <c r="C90" s="18" t="str">
        <f>IF($A90="","",(LOOKUP($A90,'STEP 2-WQv Calculation'!$A$8:$A$37,'STEP 2-WQv Calculation'!$C$8:$C$37)))</f>
        <v/>
      </c>
      <c r="D90" s="53" t="str">
        <f>IF($A90="","",(LOOKUP($A90,'STEP 2-WQv Calculation'!$A$8:$A$37,'STEP 2-WQv Calculation'!$D$8:$D$37)))</f>
        <v/>
      </c>
      <c r="E90" s="18" t="str">
        <f>IF($A90="","",(LOOKUP($A90,'STEP 2-WQv Calculation'!$A$8:$A$37,'STEP 2-WQv Calculation'!$E$8:$E$37)))</f>
        <v/>
      </c>
      <c r="F90" s="42" t="str">
        <f>IF($A90="","",(LOOKUP($A90,'STEP 2-WQv Calculation'!$A$8:$A$37,'STEP 2-WQv Calculation'!$F$8:$F$37)))</f>
        <v/>
      </c>
      <c r="G90" s="18">
        <f>'STEP 2-WQv Calculation'!B5</f>
        <v>0</v>
      </c>
      <c r="H90" s="29" t="str">
        <f>IF($A90="","",(LOOKUP($A90,'STEP 2-WQv Calculation'!$A$8:$A$37,'STEP 2-WQv Calculation'!$G$8:$G$37)))</f>
        <v/>
      </c>
    </row>
    <row r="91" spans="1:11" ht="13.15" customHeight="1" x14ac:dyDescent="0.35">
      <c r="A91" s="241" t="s">
        <v>226</v>
      </c>
      <c r="B91" s="241"/>
      <c r="C91" s="241"/>
      <c r="D91" s="241"/>
      <c r="E91" s="241"/>
      <c r="F91" s="241"/>
      <c r="G91" s="241"/>
      <c r="H91" s="241"/>
    </row>
    <row r="92" spans="1:11" ht="13.15" customHeight="1" x14ac:dyDescent="0.35">
      <c r="A92" s="245" t="s">
        <v>246</v>
      </c>
      <c r="B92" s="245"/>
      <c r="C92" s="245"/>
      <c r="D92" s="245"/>
      <c r="E92" s="245"/>
      <c r="F92" s="245"/>
      <c r="G92" s="218"/>
      <c r="H92" s="219" t="str">
        <f>IF(G92="NO","Does not meet design criteria","")</f>
        <v/>
      </c>
    </row>
    <row r="93" spans="1:11" ht="11.25" customHeight="1" x14ac:dyDescent="0.35">
      <c r="A93" s="245" t="s">
        <v>247</v>
      </c>
      <c r="B93" s="245"/>
      <c r="C93" s="245"/>
      <c r="D93" s="245"/>
      <c r="E93" s="245"/>
      <c r="F93" s="245"/>
      <c r="G93" s="218"/>
      <c r="H93" s="224" t="str">
        <f>IF(G93="","This practice cannot be used for hotspot treatment",IF(G93="Yes","Does not meet design criteria",""))</f>
        <v>This practice cannot be used for hotspot treatment</v>
      </c>
      <c r="I93" s="132"/>
      <c r="J93" s="132"/>
      <c r="K93" s="132"/>
    </row>
    <row r="94" spans="1:11" ht="13.15" customHeight="1" x14ac:dyDescent="0.35">
      <c r="A94" s="245" t="s">
        <v>249</v>
      </c>
      <c r="B94" s="245"/>
      <c r="C94" s="245"/>
      <c r="D94" s="245"/>
      <c r="E94" s="245"/>
      <c r="F94" s="245"/>
      <c r="G94" s="218"/>
      <c r="H94" s="219" t="str">
        <f>IF(G94="NO","Does not meet design criteria","")</f>
        <v/>
      </c>
    </row>
    <row r="95" spans="1:11" ht="13.15" customHeight="1" x14ac:dyDescent="0.35">
      <c r="A95" s="245" t="s">
        <v>250</v>
      </c>
      <c r="B95" s="245"/>
      <c r="C95" s="245"/>
      <c r="D95" s="245"/>
      <c r="E95" s="245"/>
      <c r="F95" s="245"/>
      <c r="G95" s="218"/>
      <c r="H95" s="219" t="str">
        <f>IF(G95="NO","Does not meet design criteria","")</f>
        <v/>
      </c>
    </row>
    <row r="96" spans="1:11" ht="13.15" customHeight="1" x14ac:dyDescent="0.35">
      <c r="A96" s="242" t="s">
        <v>251</v>
      </c>
      <c r="B96" s="243"/>
      <c r="C96" s="243"/>
      <c r="D96" s="243"/>
      <c r="E96" s="243"/>
      <c r="F96" s="244"/>
      <c r="G96" s="210"/>
      <c r="H96" s="219" t="str">
        <f>IF(G96&gt;150,"Does not meet design criteria","")</f>
        <v/>
      </c>
    </row>
    <row r="97" spans="1:8" ht="13.15" customHeight="1" x14ac:dyDescent="0.35">
      <c r="A97" s="242" t="s">
        <v>252</v>
      </c>
      <c r="B97" s="243"/>
      <c r="C97" s="243"/>
      <c r="D97" s="243"/>
      <c r="E97" s="243"/>
      <c r="F97" s="244"/>
      <c r="G97" s="210"/>
      <c r="H97" s="219" t="str">
        <f>IF(G97&gt;75,"Does not meet design criteria","")</f>
        <v/>
      </c>
    </row>
    <row r="98" spans="1:8" ht="13.15" customHeight="1" x14ac:dyDescent="0.35">
      <c r="A98" s="242" t="s">
        <v>253</v>
      </c>
      <c r="B98" s="243"/>
      <c r="C98" s="243"/>
      <c r="D98" s="243"/>
      <c r="E98" s="243"/>
      <c r="F98" s="244"/>
      <c r="G98" s="210"/>
      <c r="H98" s="219" t="str">
        <f>IF(G98&gt;10,"Does not meet design criteria","")</f>
        <v/>
      </c>
    </row>
    <row r="99" spans="1:8" ht="13.15" customHeight="1" x14ac:dyDescent="0.35">
      <c r="A99" s="242" t="s">
        <v>254</v>
      </c>
      <c r="B99" s="243"/>
      <c r="C99" s="243"/>
      <c r="D99" s="243"/>
      <c r="E99" s="243"/>
      <c r="F99" s="244"/>
      <c r="G99" s="212">
        <f>IF(G98&lt;=5,35,IF(G98&lt;=10,60,IF(G98&gt;10,"")))</f>
        <v>35</v>
      </c>
      <c r="H99" s="219" t="str">
        <f>IF(G98&gt;10,"Does not meet design criteria","")</f>
        <v/>
      </c>
    </row>
    <row r="100" spans="1:8" ht="13.15" customHeight="1" x14ac:dyDescent="0.35">
      <c r="A100" s="242" t="s">
        <v>255</v>
      </c>
      <c r="B100" s="243"/>
      <c r="C100" s="243"/>
      <c r="D100" s="243"/>
      <c r="E100" s="243"/>
      <c r="F100" s="244"/>
      <c r="G100" s="210"/>
      <c r="H100" s="219" t="str">
        <f>IF(G100&gt;2,"Does not meet design criteria","")</f>
        <v/>
      </c>
    </row>
    <row r="101" spans="1:8" ht="13.15" customHeight="1" x14ac:dyDescent="0.3">
      <c r="A101" s="246" t="s">
        <v>232</v>
      </c>
      <c r="B101" s="247"/>
      <c r="C101" s="247"/>
      <c r="D101" s="247"/>
      <c r="E101" s="247"/>
      <c r="F101" s="247"/>
      <c r="G101" s="247"/>
      <c r="H101" s="247"/>
    </row>
    <row r="102" spans="1:8" ht="13" x14ac:dyDescent="0.35">
      <c r="A102" s="35"/>
      <c r="B102" s="36"/>
      <c r="C102" s="36"/>
      <c r="D102" s="37"/>
      <c r="E102" s="302" t="s">
        <v>256</v>
      </c>
      <c r="F102" s="302"/>
      <c r="G102" s="38" t="s">
        <v>257</v>
      </c>
      <c r="H102" s="38" t="s">
        <v>258</v>
      </c>
    </row>
    <row r="103" spans="1:8" ht="13.15" customHeight="1" x14ac:dyDescent="0.35">
      <c r="A103" s="289" t="s">
        <v>259</v>
      </c>
      <c r="B103" s="289"/>
      <c r="C103" s="289"/>
      <c r="D103" s="133" t="s">
        <v>260</v>
      </c>
      <c r="E103" s="314"/>
      <c r="F103" s="315"/>
      <c r="G103" s="193" t="s">
        <v>261</v>
      </c>
      <c r="H103" s="219" t="str">
        <f>IF(E103="","",IF(E103&lt;6,"Does not meet design criteria",""))</f>
        <v/>
      </c>
    </row>
    <row r="104" spans="1:8" ht="13.15" customHeight="1" x14ac:dyDescent="0.35">
      <c r="A104" s="289" t="s">
        <v>262</v>
      </c>
      <c r="B104" s="289"/>
      <c r="C104" s="289"/>
      <c r="D104" s="133" t="s">
        <v>263</v>
      </c>
      <c r="E104" s="314"/>
      <c r="F104" s="315"/>
      <c r="G104" s="193" t="s">
        <v>264</v>
      </c>
      <c r="H104" s="219"/>
    </row>
    <row r="105" spans="1:8" ht="13.15" customHeight="1" x14ac:dyDescent="0.35">
      <c r="A105" s="266" t="s">
        <v>265</v>
      </c>
      <c r="B105" s="267"/>
      <c r="C105" s="268"/>
      <c r="D105" s="133" t="s">
        <v>214</v>
      </c>
      <c r="E105" s="314"/>
      <c r="F105" s="315"/>
      <c r="G105" s="193" t="s">
        <v>266</v>
      </c>
      <c r="H105" s="219" t="str">
        <f>IF(E105&gt;0.06,"Does not meet design criteria","")</f>
        <v/>
      </c>
    </row>
    <row r="106" spans="1:8" ht="13.15" customHeight="1" x14ac:dyDescent="0.35">
      <c r="A106" s="289" t="s">
        <v>267</v>
      </c>
      <c r="B106" s="289"/>
      <c r="C106" s="289"/>
      <c r="D106" s="133" t="s">
        <v>268</v>
      </c>
      <c r="E106" s="314"/>
      <c r="F106" s="315"/>
      <c r="G106" s="193"/>
      <c r="H106" s="219"/>
    </row>
    <row r="107" spans="1:8" ht="13.15" customHeight="1" x14ac:dyDescent="0.35">
      <c r="A107" s="266" t="s">
        <v>269</v>
      </c>
      <c r="B107" s="267"/>
      <c r="C107" s="268"/>
      <c r="D107" s="133" t="s">
        <v>270</v>
      </c>
      <c r="E107" s="308" t="e">
        <f>ROUND(((E103^1.25)*(E104^0.625)*(E105^0.5))/(0.338*E106),0)</f>
        <v>#DIV/0!</v>
      </c>
      <c r="F107" s="308"/>
      <c r="G107" s="193" t="s">
        <v>271</v>
      </c>
      <c r="H107" s="219"/>
    </row>
    <row r="108" spans="1:8" ht="13.15" customHeight="1" x14ac:dyDescent="0.35">
      <c r="A108" s="266" t="s">
        <v>272</v>
      </c>
      <c r="B108" s="267"/>
      <c r="C108" s="268"/>
      <c r="D108" s="133" t="s">
        <v>270</v>
      </c>
      <c r="E108" s="308" t="e">
        <f>ROUND(IF(E107&gt;G99,E107,IF(E107&lt;G99,G99)),0)</f>
        <v>#DIV/0!</v>
      </c>
      <c r="F108" s="308"/>
      <c r="G108" s="193" t="s">
        <v>271</v>
      </c>
      <c r="H108" s="219"/>
    </row>
    <row r="109" spans="1:8" ht="13.15" customHeight="1" x14ac:dyDescent="0.35">
      <c r="A109" s="266" t="s">
        <v>273</v>
      </c>
      <c r="B109" s="267"/>
      <c r="C109" s="267"/>
      <c r="D109" s="268"/>
      <c r="E109" s="306"/>
      <c r="F109" s="307"/>
      <c r="G109" s="266"/>
      <c r="H109" s="268"/>
    </row>
    <row r="110" spans="1:8" ht="13.15" customHeight="1" x14ac:dyDescent="0.35">
      <c r="A110" s="266" t="s">
        <v>274</v>
      </c>
      <c r="B110" s="267"/>
      <c r="C110" s="268"/>
      <c r="D110" s="133" t="s">
        <v>270</v>
      </c>
      <c r="E110" s="308" t="e">
        <f>ROUND(IF(E109="YES",E108*1.15,E108),0)</f>
        <v>#DIV/0!</v>
      </c>
      <c r="F110" s="308"/>
      <c r="G110" s="193" t="s">
        <v>271</v>
      </c>
      <c r="H110" s="219"/>
    </row>
    <row r="111" spans="1:8" ht="13.15" customHeight="1" x14ac:dyDescent="0.35">
      <c r="A111" s="266" t="s">
        <v>275</v>
      </c>
      <c r="B111" s="267"/>
      <c r="C111" s="268"/>
      <c r="D111" s="133" t="s">
        <v>270</v>
      </c>
      <c r="E111" s="305"/>
      <c r="F111" s="305"/>
      <c r="G111" s="193" t="s">
        <v>271</v>
      </c>
      <c r="H111" s="219" t="str">
        <f>IF(E111="","",IF(E107&gt;E111,"Does not meet design criteria",""))</f>
        <v/>
      </c>
    </row>
    <row r="112" spans="1:8" x14ac:dyDescent="0.35">
      <c r="A112" s="313"/>
      <c r="B112" s="313"/>
      <c r="C112" s="313"/>
      <c r="D112" s="313"/>
      <c r="E112" s="313"/>
      <c r="F112" s="313"/>
      <c r="G112" s="313"/>
      <c r="H112" s="313"/>
    </row>
    <row r="113" spans="1:11" ht="13.15" customHeight="1" x14ac:dyDescent="0.35">
      <c r="A113" s="236" t="s">
        <v>276</v>
      </c>
      <c r="B113" s="237"/>
      <c r="C113" s="237"/>
      <c r="D113" s="237"/>
      <c r="E113" s="237"/>
      <c r="F113" s="237"/>
      <c r="G113" s="237"/>
      <c r="H113" s="238"/>
    </row>
    <row r="114" spans="1:11" ht="13.15" customHeight="1" x14ac:dyDescent="0.35">
      <c r="A114" s="239" t="s">
        <v>241</v>
      </c>
      <c r="B114" s="239"/>
      <c r="C114" s="9" t="str">
        <f>IF(G93="Yes",0,IF(F90="","",IF(B90="",0,IF(G92="NO",0,IF(G94="NO",0,IF(G95="NO",0,IF(G96&gt;150,0,IF(G97&gt;75,0,IF(G98&gt;10,0,IF(G100&gt;2,0,IF(E111&lt;E110,0,F90)))))))))))</f>
        <v/>
      </c>
      <c r="D114" s="310" t="s">
        <v>2</v>
      </c>
      <c r="E114" s="311"/>
      <c r="F114" s="311"/>
      <c r="G114" s="311"/>
      <c r="H114" s="312"/>
    </row>
    <row r="115" spans="1:11" ht="13" x14ac:dyDescent="0.35">
      <c r="A115" s="16" t="s">
        <v>56</v>
      </c>
      <c r="B115" s="225" t="str">
        <f>IF('STEP 2-WQv Calculation'!$B$4="","",'STEP 2-WQv Calculation'!$B$4)</f>
        <v/>
      </c>
    </row>
    <row r="116" spans="1:11" ht="13.15" customHeight="1" x14ac:dyDescent="0.35">
      <c r="A116" s="309" t="s">
        <v>243</v>
      </c>
      <c r="B116" s="309"/>
      <c r="C116" s="309"/>
      <c r="D116" s="309"/>
      <c r="E116" s="309"/>
      <c r="F116" s="309"/>
      <c r="G116" s="309"/>
      <c r="H116" s="309"/>
    </row>
    <row r="117" spans="1:11" ht="52.9" customHeight="1" x14ac:dyDescent="0.35">
      <c r="A117" s="204" t="s">
        <v>60</v>
      </c>
      <c r="B117" s="205" t="s">
        <v>61</v>
      </c>
      <c r="C117" s="205" t="s">
        <v>62</v>
      </c>
      <c r="D117" s="205" t="s">
        <v>63</v>
      </c>
      <c r="E117" s="205" t="s">
        <v>64</v>
      </c>
      <c r="F117" s="205" t="s">
        <v>65</v>
      </c>
      <c r="G117" s="205" t="s">
        <v>244</v>
      </c>
      <c r="H117" s="206" t="s">
        <v>13</v>
      </c>
    </row>
    <row r="118" spans="1:11" x14ac:dyDescent="0.35">
      <c r="A118" s="17"/>
      <c r="B118" s="18" t="str">
        <f>IF($A118="","",(LOOKUP($A118,'STEP 2-WQv Calculation'!$A$8:$A$37,'STEP 2-WQv Calculation'!$B$8:$B$37)))</f>
        <v/>
      </c>
      <c r="C118" s="18" t="str">
        <f>IF($A118="","",(LOOKUP($A118,'STEP 2-WQv Calculation'!$A$8:$A$37,'STEP 2-WQv Calculation'!$C$8:$C$37)))</f>
        <v/>
      </c>
      <c r="D118" s="53" t="str">
        <f>IF($A118="","",(LOOKUP($A118,'STEP 2-WQv Calculation'!$A$8:$A$37,'STEP 2-WQv Calculation'!$D$8:$D$37)))</f>
        <v/>
      </c>
      <c r="E118" s="18" t="str">
        <f>IF($A118="","",(LOOKUP($A118,'STEP 2-WQv Calculation'!$A$8:$A$37,'STEP 2-WQv Calculation'!$E$8:$E$37)))</f>
        <v/>
      </c>
      <c r="F118" s="42" t="str">
        <f>IF($A118="","",(LOOKUP($A118,'STEP 2-WQv Calculation'!$A$8:$A$37,'STEP 2-WQv Calculation'!$F$8:$F$37)))</f>
        <v/>
      </c>
      <c r="G118" s="18">
        <f>'STEP 2-WQv Calculation'!B5</f>
        <v>0</v>
      </c>
      <c r="H118" s="29" t="str">
        <f>IF($A118="","",(LOOKUP($A118,'STEP 2-WQv Calculation'!$A$8:$A$37,'STEP 2-WQv Calculation'!$G$8:$G$37)))</f>
        <v/>
      </c>
    </row>
    <row r="119" spans="1:11" ht="13.15" customHeight="1" x14ac:dyDescent="0.35">
      <c r="A119" s="241" t="s">
        <v>226</v>
      </c>
      <c r="B119" s="241"/>
      <c r="C119" s="241"/>
      <c r="D119" s="241"/>
      <c r="E119" s="241"/>
      <c r="F119" s="241"/>
      <c r="G119" s="241"/>
      <c r="H119" s="241"/>
    </row>
    <row r="120" spans="1:11" ht="13.15" customHeight="1" x14ac:dyDescent="0.35">
      <c r="A120" s="245" t="s">
        <v>246</v>
      </c>
      <c r="B120" s="245"/>
      <c r="C120" s="245"/>
      <c r="D120" s="245"/>
      <c r="E120" s="245"/>
      <c r="F120" s="245"/>
      <c r="G120" s="218"/>
      <c r="H120" s="219" t="str">
        <f>IF(G120="NO","Does not meet design criteria","")</f>
        <v/>
      </c>
    </row>
    <row r="121" spans="1:11" ht="23.25" customHeight="1" x14ac:dyDescent="0.35">
      <c r="A121" s="245" t="s">
        <v>247</v>
      </c>
      <c r="B121" s="245"/>
      <c r="C121" s="245"/>
      <c r="D121" s="245"/>
      <c r="E121" s="245"/>
      <c r="F121" s="245"/>
      <c r="G121" s="218"/>
      <c r="H121" s="224" t="str">
        <f>IF(G121="","This practice cannot be used for hotspot treatment",IF(G121="Yes","Does not meet design criteria",""))</f>
        <v>This practice cannot be used for hotspot treatment</v>
      </c>
      <c r="I121" s="132"/>
      <c r="J121" s="132"/>
      <c r="K121" s="132"/>
    </row>
    <row r="122" spans="1:11" ht="13.15" customHeight="1" x14ac:dyDescent="0.35">
      <c r="A122" s="245" t="s">
        <v>249</v>
      </c>
      <c r="B122" s="245"/>
      <c r="C122" s="245"/>
      <c r="D122" s="245"/>
      <c r="E122" s="245"/>
      <c r="F122" s="245"/>
      <c r="G122" s="218"/>
      <c r="H122" s="219" t="str">
        <f>IF(G122="NO","Does not meet design criteria","")</f>
        <v/>
      </c>
    </row>
    <row r="123" spans="1:11" ht="13.15" customHeight="1" x14ac:dyDescent="0.35">
      <c r="A123" s="245" t="s">
        <v>250</v>
      </c>
      <c r="B123" s="245"/>
      <c r="C123" s="245"/>
      <c r="D123" s="245"/>
      <c r="E123" s="245"/>
      <c r="F123" s="245"/>
      <c r="G123" s="218"/>
      <c r="H123" s="219" t="str">
        <f>IF(G123="NO","Does not meet design criteria","")</f>
        <v/>
      </c>
    </row>
    <row r="124" spans="1:11" ht="13.15" customHeight="1" x14ac:dyDescent="0.35">
      <c r="A124" s="242" t="s">
        <v>251</v>
      </c>
      <c r="B124" s="243"/>
      <c r="C124" s="243"/>
      <c r="D124" s="243"/>
      <c r="E124" s="243"/>
      <c r="F124" s="244"/>
      <c r="G124" s="210"/>
      <c r="H124" s="219" t="str">
        <f>IF(G124&gt;150,"Does not meet design criteria","")</f>
        <v/>
      </c>
    </row>
    <row r="125" spans="1:11" ht="13.15" customHeight="1" x14ac:dyDescent="0.35">
      <c r="A125" s="242" t="s">
        <v>252</v>
      </c>
      <c r="B125" s="243"/>
      <c r="C125" s="243"/>
      <c r="D125" s="243"/>
      <c r="E125" s="243"/>
      <c r="F125" s="244"/>
      <c r="G125" s="210"/>
      <c r="H125" s="219" t="str">
        <f>IF(G125&gt;75,"Does not meet design criteria","")</f>
        <v/>
      </c>
    </row>
    <row r="126" spans="1:11" ht="13.15" customHeight="1" x14ac:dyDescent="0.35">
      <c r="A126" s="242" t="s">
        <v>253</v>
      </c>
      <c r="B126" s="243"/>
      <c r="C126" s="243"/>
      <c r="D126" s="243"/>
      <c r="E126" s="243"/>
      <c r="F126" s="244"/>
      <c r="G126" s="210"/>
      <c r="H126" s="219" t="str">
        <f>IF(G126&gt;10,"Does not meet design criteria","")</f>
        <v/>
      </c>
    </row>
    <row r="127" spans="1:11" ht="13.15" customHeight="1" x14ac:dyDescent="0.35">
      <c r="A127" s="242" t="s">
        <v>254</v>
      </c>
      <c r="B127" s="243"/>
      <c r="C127" s="243"/>
      <c r="D127" s="243"/>
      <c r="E127" s="243"/>
      <c r="F127" s="244"/>
      <c r="G127" s="212">
        <f>IF(G126&lt;=5,35,IF(G126&lt;=10,60,IF(G126&gt;10,"")))</f>
        <v>35</v>
      </c>
      <c r="H127" s="219" t="str">
        <f>IF(G126&gt;10,"Does not meet design criteria","")</f>
        <v/>
      </c>
    </row>
    <row r="128" spans="1:11" ht="13.15" customHeight="1" x14ac:dyDescent="0.35">
      <c r="A128" s="242" t="s">
        <v>255</v>
      </c>
      <c r="B128" s="243"/>
      <c r="C128" s="243"/>
      <c r="D128" s="243"/>
      <c r="E128" s="243"/>
      <c r="F128" s="244"/>
      <c r="G128" s="210"/>
      <c r="H128" s="219" t="str">
        <f>IF(G128&gt;2,"Does not meet design criteria","")</f>
        <v/>
      </c>
    </row>
    <row r="129" spans="1:8" ht="13.15" customHeight="1" x14ac:dyDescent="0.3">
      <c r="A129" s="246" t="s">
        <v>232</v>
      </c>
      <c r="B129" s="247"/>
      <c r="C129" s="247"/>
      <c r="D129" s="247"/>
      <c r="E129" s="247"/>
      <c r="F129" s="247"/>
      <c r="G129" s="247"/>
      <c r="H129" s="247"/>
    </row>
    <row r="130" spans="1:8" ht="13" x14ac:dyDescent="0.35">
      <c r="A130" s="35"/>
      <c r="B130" s="36"/>
      <c r="C130" s="36"/>
      <c r="D130" s="37"/>
      <c r="E130" s="302" t="s">
        <v>256</v>
      </c>
      <c r="F130" s="302"/>
      <c r="G130" s="38" t="s">
        <v>257</v>
      </c>
      <c r="H130" s="38" t="s">
        <v>258</v>
      </c>
    </row>
    <row r="131" spans="1:8" ht="13.15" customHeight="1" x14ac:dyDescent="0.35">
      <c r="A131" s="289" t="s">
        <v>259</v>
      </c>
      <c r="B131" s="289"/>
      <c r="C131" s="289"/>
      <c r="D131" s="133" t="s">
        <v>260</v>
      </c>
      <c r="E131" s="314"/>
      <c r="F131" s="315"/>
      <c r="G131" s="193" t="s">
        <v>261</v>
      </c>
      <c r="H131" s="219" t="str">
        <f>IF(E131="","",IF(E131&lt;6,"Does not meet design criteria",""))</f>
        <v/>
      </c>
    </row>
    <row r="132" spans="1:8" ht="13.15" customHeight="1" x14ac:dyDescent="0.35">
      <c r="A132" s="289" t="s">
        <v>262</v>
      </c>
      <c r="B132" s="289"/>
      <c r="C132" s="289"/>
      <c r="D132" s="133" t="s">
        <v>263</v>
      </c>
      <c r="E132" s="314"/>
      <c r="F132" s="315"/>
      <c r="G132" s="193" t="s">
        <v>264</v>
      </c>
      <c r="H132" s="219"/>
    </row>
    <row r="133" spans="1:8" ht="13.15" customHeight="1" x14ac:dyDescent="0.35">
      <c r="A133" s="266" t="s">
        <v>265</v>
      </c>
      <c r="B133" s="267"/>
      <c r="C133" s="268"/>
      <c r="D133" s="133" t="s">
        <v>214</v>
      </c>
      <c r="E133" s="314"/>
      <c r="F133" s="315"/>
      <c r="G133" s="193" t="s">
        <v>266</v>
      </c>
      <c r="H133" s="219" t="str">
        <f>IF(E133&gt;0.06,"Does not meet design criteria","")</f>
        <v/>
      </c>
    </row>
    <row r="134" spans="1:8" ht="13.15" customHeight="1" x14ac:dyDescent="0.35">
      <c r="A134" s="289" t="s">
        <v>267</v>
      </c>
      <c r="B134" s="289"/>
      <c r="C134" s="289"/>
      <c r="D134" s="133" t="s">
        <v>268</v>
      </c>
      <c r="E134" s="314"/>
      <c r="F134" s="315"/>
      <c r="G134" s="193"/>
      <c r="H134" s="219"/>
    </row>
    <row r="135" spans="1:8" ht="13.15" customHeight="1" x14ac:dyDescent="0.35">
      <c r="A135" s="266" t="s">
        <v>269</v>
      </c>
      <c r="B135" s="267"/>
      <c r="C135" s="268"/>
      <c r="D135" s="133" t="s">
        <v>270</v>
      </c>
      <c r="E135" s="308" t="e">
        <f>ROUND(((E131^1.25)*(E132^0.625)*(E133^0.5))/(0.338*E134),0)</f>
        <v>#DIV/0!</v>
      </c>
      <c r="F135" s="308"/>
      <c r="G135" s="193" t="s">
        <v>271</v>
      </c>
      <c r="H135" s="219"/>
    </row>
    <row r="136" spans="1:8" ht="13.15" customHeight="1" x14ac:dyDescent="0.35">
      <c r="A136" s="266" t="s">
        <v>272</v>
      </c>
      <c r="B136" s="267"/>
      <c r="C136" s="268"/>
      <c r="D136" s="133" t="s">
        <v>270</v>
      </c>
      <c r="E136" s="308" t="e">
        <f>ROUND(IF(E135&gt;G127,E135,IF(E135&lt;G127,G127)),0)</f>
        <v>#DIV/0!</v>
      </c>
      <c r="F136" s="308"/>
      <c r="G136" s="193" t="s">
        <v>271</v>
      </c>
      <c r="H136" s="219"/>
    </row>
    <row r="137" spans="1:8" ht="13.15" customHeight="1" x14ac:dyDescent="0.35">
      <c r="A137" s="266" t="s">
        <v>273</v>
      </c>
      <c r="B137" s="267"/>
      <c r="C137" s="267"/>
      <c r="D137" s="268"/>
      <c r="E137" s="306"/>
      <c r="F137" s="307"/>
      <c r="G137" s="266"/>
      <c r="H137" s="268"/>
    </row>
    <row r="138" spans="1:8" ht="13.15" customHeight="1" x14ac:dyDescent="0.35">
      <c r="A138" s="266" t="s">
        <v>274</v>
      </c>
      <c r="B138" s="267"/>
      <c r="C138" s="268"/>
      <c r="D138" s="133" t="s">
        <v>270</v>
      </c>
      <c r="E138" s="308" t="e">
        <f>ROUND(IF(E137="YES",E136*1.15,E136),0)</f>
        <v>#DIV/0!</v>
      </c>
      <c r="F138" s="308"/>
      <c r="G138" s="193" t="s">
        <v>271</v>
      </c>
      <c r="H138" s="219"/>
    </row>
    <row r="139" spans="1:8" ht="13.15" customHeight="1" x14ac:dyDescent="0.35">
      <c r="A139" s="266" t="s">
        <v>275</v>
      </c>
      <c r="B139" s="267"/>
      <c r="C139" s="268"/>
      <c r="D139" s="133" t="s">
        <v>270</v>
      </c>
      <c r="E139" s="305"/>
      <c r="F139" s="305"/>
      <c r="G139" s="193" t="s">
        <v>271</v>
      </c>
      <c r="H139" s="219" t="str">
        <f>IF(E139="","",IF(E135&gt;E138,"Does not meet design criteria",""))</f>
        <v/>
      </c>
    </row>
    <row r="140" spans="1:8" x14ac:dyDescent="0.35">
      <c r="A140" s="313"/>
      <c r="B140" s="313"/>
      <c r="C140" s="313"/>
      <c r="D140" s="313"/>
      <c r="E140" s="313"/>
      <c r="F140" s="313"/>
      <c r="G140" s="313"/>
      <c r="H140" s="313"/>
    </row>
    <row r="141" spans="1:8" ht="13.15" customHeight="1" x14ac:dyDescent="0.35">
      <c r="A141" s="236" t="s">
        <v>276</v>
      </c>
      <c r="B141" s="237"/>
      <c r="C141" s="237"/>
      <c r="D141" s="237"/>
      <c r="E141" s="237"/>
      <c r="F141" s="237"/>
      <c r="G141" s="237"/>
      <c r="H141" s="238"/>
    </row>
    <row r="142" spans="1:8" ht="13.15" customHeight="1" x14ac:dyDescent="0.35">
      <c r="A142" s="239" t="s">
        <v>241</v>
      </c>
      <c r="B142" s="239"/>
      <c r="C142" s="9" t="str">
        <f>IF(G121="Yes",0,IF(F118="","",IF(B118="",0,IF(G120="NO",0,IF(G122="NO",0,IF(G123="NO",0,IF(G124&gt;150,0,IF(G125&gt;75,0,IF(G126&gt;10,0,IF(G128&gt;2,0,IF(E139&lt;E138,0,F118)))))))))))</f>
        <v/>
      </c>
      <c r="D142" s="310" t="s">
        <v>2</v>
      </c>
      <c r="E142" s="311"/>
      <c r="F142" s="311"/>
      <c r="G142" s="311"/>
      <c r="H142" s="312"/>
    </row>
    <row r="143" spans="1:8" ht="13" x14ac:dyDescent="0.35">
      <c r="A143" s="16" t="s">
        <v>56</v>
      </c>
      <c r="B143" s="225" t="str">
        <f>IF('STEP 2-WQv Calculation'!$B$4="","",'STEP 2-WQv Calculation'!$B$4)</f>
        <v/>
      </c>
    </row>
    <row r="144" spans="1:8" ht="13" x14ac:dyDescent="0.35">
      <c r="A144" s="309" t="s">
        <v>243</v>
      </c>
      <c r="B144" s="309"/>
      <c r="C144" s="309"/>
      <c r="D144" s="309"/>
      <c r="E144" s="309"/>
      <c r="F144" s="309"/>
      <c r="G144" s="309"/>
      <c r="H144" s="309"/>
    </row>
    <row r="145" spans="1:8" ht="38.5" x14ac:dyDescent="0.35">
      <c r="A145" s="204" t="s">
        <v>60</v>
      </c>
      <c r="B145" s="205" t="s">
        <v>61</v>
      </c>
      <c r="C145" s="205" t="s">
        <v>62</v>
      </c>
      <c r="D145" s="205" t="s">
        <v>63</v>
      </c>
      <c r="E145" s="205" t="s">
        <v>64</v>
      </c>
      <c r="F145" s="205" t="s">
        <v>65</v>
      </c>
      <c r="G145" s="205" t="s">
        <v>244</v>
      </c>
      <c r="H145" s="206" t="s">
        <v>13</v>
      </c>
    </row>
    <row r="146" spans="1:8" x14ac:dyDescent="0.35">
      <c r="A146" s="17"/>
      <c r="B146" s="18" t="str">
        <f>IF($A146="","",(LOOKUP($A146,'STEP 2-WQv Calculation'!$A$8:$A$37,'STEP 2-WQv Calculation'!$B$8:$B$37)))</f>
        <v/>
      </c>
      <c r="C146" s="18" t="str">
        <f>IF($A146="","",(LOOKUP($A146,'STEP 2-WQv Calculation'!$A$8:$A$37,'STEP 2-WQv Calculation'!$C$8:$C$37)))</f>
        <v/>
      </c>
      <c r="D146" s="53" t="str">
        <f>IF($A146="","",(LOOKUP($A146,'STEP 2-WQv Calculation'!$A$8:$A$37,'STEP 2-WQv Calculation'!$D$8:$D$37)))</f>
        <v/>
      </c>
      <c r="E146" s="18" t="str">
        <f>IF($A146="","",(LOOKUP($A146,'STEP 2-WQv Calculation'!$A$8:$A$37,'STEP 2-WQv Calculation'!$E$8:$E$37)))</f>
        <v/>
      </c>
      <c r="F146" s="42" t="str">
        <f>IF($A146="","",(LOOKUP($A146,'STEP 2-WQv Calculation'!$A$8:$A$37,'STEP 2-WQv Calculation'!$F$8:$F$37)))</f>
        <v/>
      </c>
      <c r="G146" s="18">
        <f>'STEP 2-WQv Calculation'!B33</f>
        <v>0</v>
      </c>
      <c r="H146" s="29" t="str">
        <f>IF($A146="","",(LOOKUP($A146,'STEP 2-WQv Calculation'!$A$8:$A$37,'STEP 2-WQv Calculation'!$G$8:$G$37)))</f>
        <v/>
      </c>
    </row>
    <row r="147" spans="1:8" ht="13" x14ac:dyDescent="0.35">
      <c r="A147" s="241" t="s">
        <v>226</v>
      </c>
      <c r="B147" s="241"/>
      <c r="C147" s="241"/>
      <c r="D147" s="241"/>
      <c r="E147" s="241"/>
      <c r="F147" s="241"/>
      <c r="G147" s="241"/>
      <c r="H147" s="241"/>
    </row>
    <row r="148" spans="1:8" x14ac:dyDescent="0.35">
      <c r="A148" s="245" t="s">
        <v>246</v>
      </c>
      <c r="B148" s="245"/>
      <c r="C148" s="245"/>
      <c r="D148" s="245"/>
      <c r="E148" s="245"/>
      <c r="F148" s="245"/>
      <c r="G148" s="218"/>
      <c r="H148" s="219" t="str">
        <f>IF(G148="NO","Does not meet design criteria","")</f>
        <v/>
      </c>
    </row>
    <row r="149" spans="1:8" ht="50" x14ac:dyDescent="0.35">
      <c r="A149" s="245" t="s">
        <v>247</v>
      </c>
      <c r="B149" s="245"/>
      <c r="C149" s="245"/>
      <c r="D149" s="245"/>
      <c r="E149" s="245"/>
      <c r="F149" s="245"/>
      <c r="G149" s="218"/>
      <c r="H149" s="224" t="str">
        <f>IF(G149="","This practice cannot be used for hotspot treatment",IF(G149="Yes","Does not meet design criteria",""))</f>
        <v>This practice cannot be used for hotspot treatment</v>
      </c>
    </row>
    <row r="150" spans="1:8" x14ac:dyDescent="0.35">
      <c r="A150" s="245" t="s">
        <v>249</v>
      </c>
      <c r="B150" s="245"/>
      <c r="C150" s="245"/>
      <c r="D150" s="245"/>
      <c r="E150" s="245"/>
      <c r="F150" s="245"/>
      <c r="G150" s="218"/>
      <c r="H150" s="219" t="str">
        <f>IF(G150="NO","Does not meet design criteria","")</f>
        <v/>
      </c>
    </row>
    <row r="151" spans="1:8" x14ac:dyDescent="0.35">
      <c r="A151" s="245" t="s">
        <v>250</v>
      </c>
      <c r="B151" s="245"/>
      <c r="C151" s="245"/>
      <c r="D151" s="245"/>
      <c r="E151" s="245"/>
      <c r="F151" s="245"/>
      <c r="G151" s="218"/>
      <c r="H151" s="219" t="str">
        <f>IF(G151="NO","Does not meet design criteria","")</f>
        <v/>
      </c>
    </row>
    <row r="152" spans="1:8" x14ac:dyDescent="0.35">
      <c r="A152" s="242" t="s">
        <v>251</v>
      </c>
      <c r="B152" s="243"/>
      <c r="C152" s="243"/>
      <c r="D152" s="243"/>
      <c r="E152" s="243"/>
      <c r="F152" s="244"/>
      <c r="G152" s="210"/>
      <c r="H152" s="219" t="str">
        <f>IF(G152&gt;150,"Does not meet design criteria","")</f>
        <v/>
      </c>
    </row>
    <row r="153" spans="1:8" x14ac:dyDescent="0.35">
      <c r="A153" s="242" t="s">
        <v>252</v>
      </c>
      <c r="B153" s="243"/>
      <c r="C153" s="243"/>
      <c r="D153" s="243"/>
      <c r="E153" s="243"/>
      <c r="F153" s="244"/>
      <c r="G153" s="210"/>
      <c r="H153" s="219" t="str">
        <f>IF(G153&gt;75,"Does not meet design criteria","")</f>
        <v/>
      </c>
    </row>
    <row r="154" spans="1:8" x14ac:dyDescent="0.35">
      <c r="A154" s="242" t="s">
        <v>253</v>
      </c>
      <c r="B154" s="243"/>
      <c r="C154" s="243"/>
      <c r="D154" s="243"/>
      <c r="E154" s="243"/>
      <c r="F154" s="244"/>
      <c r="G154" s="210"/>
      <c r="H154" s="219" t="str">
        <f>IF(G154&gt;10,"Does not meet design criteria","")</f>
        <v/>
      </c>
    </row>
    <row r="155" spans="1:8" x14ac:dyDescent="0.35">
      <c r="A155" s="242" t="s">
        <v>254</v>
      </c>
      <c r="B155" s="243"/>
      <c r="C155" s="243"/>
      <c r="D155" s="243"/>
      <c r="E155" s="243"/>
      <c r="F155" s="244"/>
      <c r="G155" s="212">
        <f>IF(G154&lt;=5,35,IF(G154&lt;=10,60,IF(G154&gt;10,"")))</f>
        <v>35</v>
      </c>
      <c r="H155" s="219" t="str">
        <f>IF(G154&gt;10,"Does not meet design criteria","")</f>
        <v/>
      </c>
    </row>
    <row r="156" spans="1:8" x14ac:dyDescent="0.35">
      <c r="A156" s="242" t="s">
        <v>255</v>
      </c>
      <c r="B156" s="243"/>
      <c r="C156" s="243"/>
      <c r="D156" s="243"/>
      <c r="E156" s="243"/>
      <c r="F156" s="244"/>
      <c r="G156" s="210"/>
      <c r="H156" s="219" t="str">
        <f>IF(G156&gt;2,"Does not meet design criteria","")</f>
        <v/>
      </c>
    </row>
    <row r="157" spans="1:8" ht="13" x14ac:dyDescent="0.3">
      <c r="A157" s="246" t="s">
        <v>232</v>
      </c>
      <c r="B157" s="247"/>
      <c r="C157" s="247"/>
      <c r="D157" s="247"/>
      <c r="E157" s="247"/>
      <c r="F157" s="247"/>
      <c r="G157" s="247"/>
      <c r="H157" s="247"/>
    </row>
    <row r="158" spans="1:8" ht="13" x14ac:dyDescent="0.35">
      <c r="A158" s="35"/>
      <c r="B158" s="36"/>
      <c r="C158" s="36"/>
      <c r="D158" s="37"/>
      <c r="E158" s="302" t="s">
        <v>256</v>
      </c>
      <c r="F158" s="302"/>
      <c r="G158" s="38" t="s">
        <v>257</v>
      </c>
      <c r="H158" s="38" t="s">
        <v>258</v>
      </c>
    </row>
    <row r="159" spans="1:8" ht="13" x14ac:dyDescent="0.35">
      <c r="A159" s="289" t="s">
        <v>259</v>
      </c>
      <c r="B159" s="289"/>
      <c r="C159" s="289"/>
      <c r="D159" s="133" t="s">
        <v>260</v>
      </c>
      <c r="E159" s="314"/>
      <c r="F159" s="315"/>
      <c r="G159" s="193" t="s">
        <v>261</v>
      </c>
      <c r="H159" s="219" t="str">
        <f>IF(E159="","",IF(E159&lt;6,"Does not meet design criteria",""))</f>
        <v/>
      </c>
    </row>
    <row r="160" spans="1:8" ht="13" x14ac:dyDescent="0.35">
      <c r="A160" s="289" t="s">
        <v>262</v>
      </c>
      <c r="B160" s="289"/>
      <c r="C160" s="289"/>
      <c r="D160" s="133" t="s">
        <v>263</v>
      </c>
      <c r="E160" s="314"/>
      <c r="F160" s="315"/>
      <c r="G160" s="193" t="s">
        <v>264</v>
      </c>
      <c r="H160" s="219"/>
    </row>
    <row r="161" spans="1:8" ht="13" x14ac:dyDescent="0.35">
      <c r="A161" s="266" t="s">
        <v>265</v>
      </c>
      <c r="B161" s="267"/>
      <c r="C161" s="268"/>
      <c r="D161" s="133" t="s">
        <v>214</v>
      </c>
      <c r="E161" s="314"/>
      <c r="F161" s="315"/>
      <c r="G161" s="193" t="s">
        <v>266</v>
      </c>
      <c r="H161" s="219" t="str">
        <f>IF(E161&gt;0.06,"Does not meet design criteria","")</f>
        <v/>
      </c>
    </row>
    <row r="162" spans="1:8" ht="13" x14ac:dyDescent="0.35">
      <c r="A162" s="289" t="s">
        <v>267</v>
      </c>
      <c r="B162" s="289"/>
      <c r="C162" s="289"/>
      <c r="D162" s="133" t="s">
        <v>268</v>
      </c>
      <c r="E162" s="314"/>
      <c r="F162" s="315"/>
      <c r="G162" s="193"/>
      <c r="H162" s="219"/>
    </row>
    <row r="163" spans="1:8" ht="13" x14ac:dyDescent="0.35">
      <c r="A163" s="266" t="s">
        <v>269</v>
      </c>
      <c r="B163" s="267"/>
      <c r="C163" s="268"/>
      <c r="D163" s="133" t="s">
        <v>270</v>
      </c>
      <c r="E163" s="308" t="e">
        <f>ROUND(((E159^1.25)*(E160^0.625)*(E161^0.5))/(0.338*E162),0)</f>
        <v>#DIV/0!</v>
      </c>
      <c r="F163" s="308"/>
      <c r="G163" s="193" t="s">
        <v>271</v>
      </c>
      <c r="H163" s="219"/>
    </row>
    <row r="164" spans="1:8" ht="13" x14ac:dyDescent="0.35">
      <c r="A164" s="266" t="s">
        <v>272</v>
      </c>
      <c r="B164" s="267"/>
      <c r="C164" s="268"/>
      <c r="D164" s="133" t="s">
        <v>270</v>
      </c>
      <c r="E164" s="308" t="e">
        <f>ROUND(IF(E163&gt;G155,E163,IF(E163&lt;G155,G155)),0)</f>
        <v>#DIV/0!</v>
      </c>
      <c r="F164" s="308"/>
      <c r="G164" s="193" t="s">
        <v>271</v>
      </c>
      <c r="H164" s="219"/>
    </row>
    <row r="165" spans="1:8" x14ac:dyDescent="0.35">
      <c r="A165" s="266" t="s">
        <v>273</v>
      </c>
      <c r="B165" s="267"/>
      <c r="C165" s="267"/>
      <c r="D165" s="268"/>
      <c r="E165" s="306"/>
      <c r="F165" s="307"/>
      <c r="G165" s="266"/>
      <c r="H165" s="268"/>
    </row>
    <row r="166" spans="1:8" ht="13" x14ac:dyDescent="0.35">
      <c r="A166" s="266" t="s">
        <v>274</v>
      </c>
      <c r="B166" s="267"/>
      <c r="C166" s="268"/>
      <c r="D166" s="133" t="s">
        <v>270</v>
      </c>
      <c r="E166" s="308" t="e">
        <f>ROUND(IF(E165="YES",E164*1.15,E164),0)</f>
        <v>#DIV/0!</v>
      </c>
      <c r="F166" s="308"/>
      <c r="G166" s="193" t="s">
        <v>271</v>
      </c>
      <c r="H166" s="219"/>
    </row>
    <row r="167" spans="1:8" ht="13" x14ac:dyDescent="0.35">
      <c r="A167" s="266" t="s">
        <v>275</v>
      </c>
      <c r="B167" s="267"/>
      <c r="C167" s="268"/>
      <c r="D167" s="133" t="s">
        <v>270</v>
      </c>
      <c r="E167" s="305"/>
      <c r="F167" s="305"/>
      <c r="G167" s="193" t="s">
        <v>271</v>
      </c>
      <c r="H167" s="219" t="str">
        <f>IF(E167="","",IF(E163&gt;E166,"Does not meet design criteria",""))</f>
        <v/>
      </c>
    </row>
    <row r="168" spans="1:8" x14ac:dyDescent="0.35">
      <c r="A168" s="313"/>
      <c r="B168" s="313"/>
      <c r="C168" s="313"/>
      <c r="D168" s="313"/>
      <c r="E168" s="313"/>
      <c r="F168" s="313"/>
      <c r="G168" s="313"/>
      <c r="H168" s="313"/>
    </row>
    <row r="169" spans="1:8" ht="13" x14ac:dyDescent="0.35">
      <c r="A169" s="236" t="s">
        <v>276</v>
      </c>
      <c r="B169" s="237"/>
      <c r="C169" s="237"/>
      <c r="D169" s="237"/>
      <c r="E169" s="237"/>
      <c r="F169" s="237"/>
      <c r="G169" s="237"/>
      <c r="H169" s="238"/>
    </row>
    <row r="170" spans="1:8" ht="13" x14ac:dyDescent="0.35">
      <c r="A170" s="239" t="s">
        <v>241</v>
      </c>
      <c r="B170" s="239"/>
      <c r="C170" s="9" t="str">
        <f>IF(G149="Yes",0,IF(F146="","",IF(B146="",0,IF(G148="NO",0,IF(G150="NO",0,IF(G151="NO",0,IF(G152&gt;150,0,IF(G153&gt;75,0,IF(G154&gt;10,0,IF(G156&gt;2,0,IF(E167&lt;E166,0,F146)))))))))))</f>
        <v/>
      </c>
      <c r="D170" s="310" t="s">
        <v>2</v>
      </c>
      <c r="E170" s="311"/>
      <c r="F170" s="311"/>
      <c r="G170" s="311"/>
      <c r="H170" s="312"/>
    </row>
    <row r="171" spans="1:8" ht="13" x14ac:dyDescent="0.35">
      <c r="A171" s="16" t="s">
        <v>56</v>
      </c>
      <c r="B171" s="225" t="str">
        <f>IF('STEP 2-WQv Calculation'!$B$4="","",'STEP 2-WQv Calculation'!$B$4)</f>
        <v/>
      </c>
    </row>
    <row r="172" spans="1:8" ht="13" x14ac:dyDescent="0.35">
      <c r="A172" s="309" t="s">
        <v>243</v>
      </c>
      <c r="B172" s="309"/>
      <c r="C172" s="309"/>
      <c r="D172" s="309"/>
      <c r="E172" s="309"/>
      <c r="F172" s="309"/>
      <c r="G172" s="309"/>
      <c r="H172" s="309"/>
    </row>
    <row r="173" spans="1:8" ht="38.5" x14ac:dyDescent="0.35">
      <c r="A173" s="204" t="s">
        <v>60</v>
      </c>
      <c r="B173" s="205" t="s">
        <v>61</v>
      </c>
      <c r="C173" s="205" t="s">
        <v>62</v>
      </c>
      <c r="D173" s="205" t="s">
        <v>63</v>
      </c>
      <c r="E173" s="205" t="s">
        <v>64</v>
      </c>
      <c r="F173" s="205" t="s">
        <v>65</v>
      </c>
      <c r="G173" s="205" t="s">
        <v>244</v>
      </c>
      <c r="H173" s="206" t="s">
        <v>13</v>
      </c>
    </row>
    <row r="174" spans="1:8" x14ac:dyDescent="0.35">
      <c r="A174" s="17"/>
      <c r="B174" s="18" t="str">
        <f>IF($A174="","",(LOOKUP($A174,'STEP 2-WQv Calculation'!$A$8:$A$37,'STEP 2-WQv Calculation'!$B$8:$B$37)))</f>
        <v/>
      </c>
      <c r="C174" s="18" t="str">
        <f>IF($A174="","",(LOOKUP($A174,'STEP 2-WQv Calculation'!$A$8:$A$37,'STEP 2-WQv Calculation'!$C$8:$C$37)))</f>
        <v/>
      </c>
      <c r="D174" s="53" t="str">
        <f>IF($A174="","",(LOOKUP($A174,'STEP 2-WQv Calculation'!$A$8:$A$37,'STEP 2-WQv Calculation'!$D$8:$D$37)))</f>
        <v/>
      </c>
      <c r="E174" s="18" t="str">
        <f>IF($A174="","",(LOOKUP($A174,'STEP 2-WQv Calculation'!$A$8:$A$37,'STEP 2-WQv Calculation'!$E$8:$E$37)))</f>
        <v/>
      </c>
      <c r="F174" s="42" t="str">
        <f>IF($A174="","",(LOOKUP($A174,'STEP 2-WQv Calculation'!$A$8:$A$37,'STEP 2-WQv Calculation'!$F$8:$F$37)))</f>
        <v/>
      </c>
      <c r="G174" s="18">
        <f>'STEP 2-WQv Calculation'!B61</f>
        <v>0</v>
      </c>
      <c r="H174" s="29" t="str">
        <f>IF($A174="","",(LOOKUP($A174,'STEP 2-WQv Calculation'!$A$8:$A$37,'STEP 2-WQv Calculation'!$G$8:$G$37)))</f>
        <v/>
      </c>
    </row>
    <row r="175" spans="1:8" ht="13" x14ac:dyDescent="0.35">
      <c r="A175" s="241" t="s">
        <v>226</v>
      </c>
      <c r="B175" s="241"/>
      <c r="C175" s="241"/>
      <c r="D175" s="241"/>
      <c r="E175" s="241"/>
      <c r="F175" s="241"/>
      <c r="G175" s="241"/>
      <c r="H175" s="241"/>
    </row>
    <row r="176" spans="1:8" x14ac:dyDescent="0.35">
      <c r="A176" s="245" t="s">
        <v>246</v>
      </c>
      <c r="B176" s="245"/>
      <c r="C176" s="245"/>
      <c r="D176" s="245"/>
      <c r="E176" s="245"/>
      <c r="F176" s="245"/>
      <c r="G176" s="218"/>
      <c r="H176" s="219" t="str">
        <f>IF(G176="NO","Does not meet design criteria","")</f>
        <v/>
      </c>
    </row>
    <row r="177" spans="1:8" ht="50" x14ac:dyDescent="0.35">
      <c r="A177" s="245" t="s">
        <v>247</v>
      </c>
      <c r="B177" s="245"/>
      <c r="C177" s="245"/>
      <c r="D177" s="245"/>
      <c r="E177" s="245"/>
      <c r="F177" s="245"/>
      <c r="G177" s="218"/>
      <c r="H177" s="224" t="str">
        <f>IF(G177="","This practice cannot be used for hotspot treatment",IF(G177="Yes","Does not meet design criteria",""))</f>
        <v>This practice cannot be used for hotspot treatment</v>
      </c>
    </row>
    <row r="178" spans="1:8" x14ac:dyDescent="0.35">
      <c r="A178" s="245" t="s">
        <v>249</v>
      </c>
      <c r="B178" s="245"/>
      <c r="C178" s="245"/>
      <c r="D178" s="245"/>
      <c r="E178" s="245"/>
      <c r="F178" s="245"/>
      <c r="G178" s="218"/>
      <c r="H178" s="219" t="str">
        <f>IF(G178="NO","Does not meet design criteria","")</f>
        <v/>
      </c>
    </row>
    <row r="179" spans="1:8" x14ac:dyDescent="0.35">
      <c r="A179" s="245" t="s">
        <v>250</v>
      </c>
      <c r="B179" s="245"/>
      <c r="C179" s="245"/>
      <c r="D179" s="245"/>
      <c r="E179" s="245"/>
      <c r="F179" s="245"/>
      <c r="G179" s="218"/>
      <c r="H179" s="219" t="str">
        <f>IF(G179="NO","Does not meet design criteria","")</f>
        <v/>
      </c>
    </row>
    <row r="180" spans="1:8" x14ac:dyDescent="0.35">
      <c r="A180" s="242" t="s">
        <v>251</v>
      </c>
      <c r="B180" s="243"/>
      <c r="C180" s="243"/>
      <c r="D180" s="243"/>
      <c r="E180" s="243"/>
      <c r="F180" s="244"/>
      <c r="G180" s="210"/>
      <c r="H180" s="219" t="str">
        <f>IF(G180&gt;150,"Does not meet design criteria","")</f>
        <v/>
      </c>
    </row>
    <row r="181" spans="1:8" x14ac:dyDescent="0.35">
      <c r="A181" s="242" t="s">
        <v>252</v>
      </c>
      <c r="B181" s="243"/>
      <c r="C181" s="243"/>
      <c r="D181" s="243"/>
      <c r="E181" s="243"/>
      <c r="F181" s="244"/>
      <c r="G181" s="210"/>
      <c r="H181" s="219" t="str">
        <f>IF(G181&gt;75,"Does not meet design criteria","")</f>
        <v/>
      </c>
    </row>
    <row r="182" spans="1:8" x14ac:dyDescent="0.35">
      <c r="A182" s="242" t="s">
        <v>253</v>
      </c>
      <c r="B182" s="243"/>
      <c r="C182" s="243"/>
      <c r="D182" s="243"/>
      <c r="E182" s="243"/>
      <c r="F182" s="244"/>
      <c r="G182" s="210"/>
      <c r="H182" s="219" t="str">
        <f>IF(G182&gt;10,"Does not meet design criteria","")</f>
        <v/>
      </c>
    </row>
    <row r="183" spans="1:8" x14ac:dyDescent="0.35">
      <c r="A183" s="242" t="s">
        <v>254</v>
      </c>
      <c r="B183" s="243"/>
      <c r="C183" s="243"/>
      <c r="D183" s="243"/>
      <c r="E183" s="243"/>
      <c r="F183" s="244"/>
      <c r="G183" s="212">
        <f>IF(G182&lt;=5,35,IF(G182&lt;=10,60,IF(G182&gt;10,"")))</f>
        <v>35</v>
      </c>
      <c r="H183" s="219" t="str">
        <f>IF(G182&gt;10,"Does not meet design criteria","")</f>
        <v/>
      </c>
    </row>
    <row r="184" spans="1:8" x14ac:dyDescent="0.35">
      <c r="A184" s="242" t="s">
        <v>255</v>
      </c>
      <c r="B184" s="243"/>
      <c r="C184" s="243"/>
      <c r="D184" s="243"/>
      <c r="E184" s="243"/>
      <c r="F184" s="244"/>
      <c r="G184" s="210"/>
      <c r="H184" s="219" t="str">
        <f>IF(G184&gt;2,"Does not meet design criteria","")</f>
        <v/>
      </c>
    </row>
    <row r="185" spans="1:8" ht="13" x14ac:dyDescent="0.3">
      <c r="A185" s="246" t="s">
        <v>232</v>
      </c>
      <c r="B185" s="247"/>
      <c r="C185" s="247"/>
      <c r="D185" s="247"/>
      <c r="E185" s="247"/>
      <c r="F185" s="247"/>
      <c r="G185" s="247"/>
      <c r="H185" s="247"/>
    </row>
    <row r="186" spans="1:8" ht="13" x14ac:dyDescent="0.35">
      <c r="A186" s="35"/>
      <c r="B186" s="36"/>
      <c r="C186" s="36"/>
      <c r="D186" s="37"/>
      <c r="E186" s="302" t="s">
        <v>256</v>
      </c>
      <c r="F186" s="302"/>
      <c r="G186" s="38" t="s">
        <v>257</v>
      </c>
      <c r="H186" s="38" t="s">
        <v>258</v>
      </c>
    </row>
    <row r="187" spans="1:8" ht="13" x14ac:dyDescent="0.35">
      <c r="A187" s="289" t="s">
        <v>259</v>
      </c>
      <c r="B187" s="289"/>
      <c r="C187" s="289"/>
      <c r="D187" s="133" t="s">
        <v>260</v>
      </c>
      <c r="E187" s="314"/>
      <c r="F187" s="315"/>
      <c r="G187" s="193" t="s">
        <v>261</v>
      </c>
      <c r="H187" s="219" t="str">
        <f>IF(E187="","",IF(E187&lt;6,"Does not meet design criteria",""))</f>
        <v/>
      </c>
    </row>
    <row r="188" spans="1:8" ht="13" x14ac:dyDescent="0.35">
      <c r="A188" s="289" t="s">
        <v>262</v>
      </c>
      <c r="B188" s="289"/>
      <c r="C188" s="289"/>
      <c r="D188" s="133" t="s">
        <v>263</v>
      </c>
      <c r="E188" s="314"/>
      <c r="F188" s="315"/>
      <c r="G188" s="193" t="s">
        <v>264</v>
      </c>
      <c r="H188" s="219"/>
    </row>
    <row r="189" spans="1:8" ht="13" x14ac:dyDescent="0.35">
      <c r="A189" s="266" t="s">
        <v>265</v>
      </c>
      <c r="B189" s="267"/>
      <c r="C189" s="268"/>
      <c r="D189" s="133" t="s">
        <v>214</v>
      </c>
      <c r="E189" s="314"/>
      <c r="F189" s="315"/>
      <c r="G189" s="193" t="s">
        <v>266</v>
      </c>
      <c r="H189" s="219" t="str">
        <f>IF(E189&gt;0.06,"Does not meet design criteria","")</f>
        <v/>
      </c>
    </row>
    <row r="190" spans="1:8" ht="13" x14ac:dyDescent="0.35">
      <c r="A190" s="289" t="s">
        <v>267</v>
      </c>
      <c r="B190" s="289"/>
      <c r="C190" s="289"/>
      <c r="D190" s="133" t="s">
        <v>268</v>
      </c>
      <c r="E190" s="314"/>
      <c r="F190" s="315"/>
      <c r="G190" s="193"/>
      <c r="H190" s="219"/>
    </row>
    <row r="191" spans="1:8" ht="13" x14ac:dyDescent="0.35">
      <c r="A191" s="266" t="s">
        <v>269</v>
      </c>
      <c r="B191" s="267"/>
      <c r="C191" s="268"/>
      <c r="D191" s="133" t="s">
        <v>270</v>
      </c>
      <c r="E191" s="308" t="e">
        <f>ROUND(((E187^1.25)*(E188^0.625)*(E189^0.5))/(0.338*E190),0)</f>
        <v>#DIV/0!</v>
      </c>
      <c r="F191" s="308"/>
      <c r="G191" s="193" t="s">
        <v>271</v>
      </c>
      <c r="H191" s="219"/>
    </row>
    <row r="192" spans="1:8" ht="13" x14ac:dyDescent="0.35">
      <c r="A192" s="266" t="s">
        <v>272</v>
      </c>
      <c r="B192" s="267"/>
      <c r="C192" s="268"/>
      <c r="D192" s="133" t="s">
        <v>270</v>
      </c>
      <c r="E192" s="308" t="e">
        <f>ROUND(IF(E191&gt;G183,E191,IF(E191&lt;G183,G183)),0)</f>
        <v>#DIV/0!</v>
      </c>
      <c r="F192" s="308"/>
      <c r="G192" s="193" t="s">
        <v>271</v>
      </c>
      <c r="H192" s="219"/>
    </row>
    <row r="193" spans="1:8" x14ac:dyDescent="0.35">
      <c r="A193" s="266" t="s">
        <v>273</v>
      </c>
      <c r="B193" s="267"/>
      <c r="C193" s="267"/>
      <c r="D193" s="268"/>
      <c r="E193" s="306"/>
      <c r="F193" s="307"/>
      <c r="G193" s="266"/>
      <c r="H193" s="268"/>
    </row>
    <row r="194" spans="1:8" ht="13" x14ac:dyDescent="0.35">
      <c r="A194" s="266" t="s">
        <v>274</v>
      </c>
      <c r="B194" s="267"/>
      <c r="C194" s="268"/>
      <c r="D194" s="133" t="s">
        <v>270</v>
      </c>
      <c r="E194" s="308" t="e">
        <f>ROUND(IF(E193="YES",E192*1.15,E192),0)</f>
        <v>#DIV/0!</v>
      </c>
      <c r="F194" s="308"/>
      <c r="G194" s="193" t="s">
        <v>271</v>
      </c>
      <c r="H194" s="219"/>
    </row>
    <row r="195" spans="1:8" ht="13" x14ac:dyDescent="0.35">
      <c r="A195" s="266" t="s">
        <v>275</v>
      </c>
      <c r="B195" s="267"/>
      <c r="C195" s="268"/>
      <c r="D195" s="133" t="s">
        <v>270</v>
      </c>
      <c r="E195" s="305"/>
      <c r="F195" s="305"/>
      <c r="G195" s="193" t="s">
        <v>271</v>
      </c>
      <c r="H195" s="219" t="str">
        <f>IF(E195="","",IF(E191&gt;E194,"Does not meet design criteria",""))</f>
        <v/>
      </c>
    </row>
    <row r="196" spans="1:8" x14ac:dyDescent="0.35">
      <c r="A196" s="313"/>
      <c r="B196" s="313"/>
      <c r="C196" s="313"/>
      <c r="D196" s="313"/>
      <c r="E196" s="313"/>
      <c r="F196" s="313"/>
      <c r="G196" s="313"/>
      <c r="H196" s="313"/>
    </row>
    <row r="197" spans="1:8" ht="13" x14ac:dyDescent="0.35">
      <c r="A197" s="236" t="s">
        <v>276</v>
      </c>
      <c r="B197" s="237"/>
      <c r="C197" s="237"/>
      <c r="D197" s="237"/>
      <c r="E197" s="237"/>
      <c r="F197" s="237"/>
      <c r="G197" s="237"/>
      <c r="H197" s="238"/>
    </row>
    <row r="198" spans="1:8" ht="13" x14ac:dyDescent="0.35">
      <c r="A198" s="239" t="s">
        <v>241</v>
      </c>
      <c r="B198" s="239"/>
      <c r="C198" s="9" t="str">
        <f>IF(G177="Yes",0,IF(F174="","",IF(B174="",0,IF(G176="NO",0,IF(G178="NO",0,IF(G179="NO",0,IF(G180&gt;150,0,IF(G181&gt;75,0,IF(G182&gt;10,0,IF(G184&gt;2,0,IF(E195&lt;E194,0,F174)))))))))))</f>
        <v/>
      </c>
      <c r="D198" s="310" t="s">
        <v>2</v>
      </c>
      <c r="E198" s="311"/>
      <c r="F198" s="311"/>
      <c r="G198" s="311"/>
      <c r="H198" s="312"/>
    </row>
    <row r="199" spans="1:8" ht="13" x14ac:dyDescent="0.35">
      <c r="A199" s="16" t="s">
        <v>56</v>
      </c>
      <c r="B199" s="225" t="str">
        <f>IF('STEP 2-WQv Calculation'!$B$4="","",'STEP 2-WQv Calculation'!$B$4)</f>
        <v/>
      </c>
    </row>
    <row r="200" spans="1:8" ht="13" x14ac:dyDescent="0.35">
      <c r="A200" s="309" t="s">
        <v>243</v>
      </c>
      <c r="B200" s="309"/>
      <c r="C200" s="309"/>
      <c r="D200" s="309"/>
      <c r="E200" s="309"/>
      <c r="F200" s="309"/>
      <c r="G200" s="309"/>
      <c r="H200" s="309"/>
    </row>
    <row r="201" spans="1:8" ht="38.5" x14ac:dyDescent="0.35">
      <c r="A201" s="204" t="s">
        <v>60</v>
      </c>
      <c r="B201" s="205" t="s">
        <v>61</v>
      </c>
      <c r="C201" s="205" t="s">
        <v>62</v>
      </c>
      <c r="D201" s="205" t="s">
        <v>63</v>
      </c>
      <c r="E201" s="205" t="s">
        <v>64</v>
      </c>
      <c r="F201" s="205" t="s">
        <v>65</v>
      </c>
      <c r="G201" s="205" t="s">
        <v>244</v>
      </c>
      <c r="H201" s="206" t="s">
        <v>13</v>
      </c>
    </row>
    <row r="202" spans="1:8" x14ac:dyDescent="0.35">
      <c r="A202" s="17"/>
      <c r="B202" s="18" t="str">
        <f>IF($A202="","",(LOOKUP($A202,'STEP 2-WQv Calculation'!$A$8:$A$37,'STEP 2-WQv Calculation'!$B$8:$B$37)))</f>
        <v/>
      </c>
      <c r="C202" s="18" t="str">
        <f>IF($A202="","",(LOOKUP($A202,'STEP 2-WQv Calculation'!$A$8:$A$37,'STEP 2-WQv Calculation'!$C$8:$C$37)))</f>
        <v/>
      </c>
      <c r="D202" s="53" t="str">
        <f>IF($A202="","",(LOOKUP($A202,'STEP 2-WQv Calculation'!$A$8:$A$37,'STEP 2-WQv Calculation'!$D$8:$D$37)))</f>
        <v/>
      </c>
      <c r="E202" s="18" t="str">
        <f>IF($A202="","",(LOOKUP($A202,'STEP 2-WQv Calculation'!$A$8:$A$37,'STEP 2-WQv Calculation'!$E$8:$E$37)))</f>
        <v/>
      </c>
      <c r="F202" s="42" t="str">
        <f>IF($A202="","",(LOOKUP($A202,'STEP 2-WQv Calculation'!$A$8:$A$37,'STEP 2-WQv Calculation'!$F$8:$F$37)))</f>
        <v/>
      </c>
      <c r="G202" s="18">
        <f>'STEP 2-WQv Calculation'!B89</f>
        <v>0</v>
      </c>
      <c r="H202" s="29" t="str">
        <f>IF($A202="","",(LOOKUP($A202,'STEP 2-WQv Calculation'!$A$8:$A$37,'STEP 2-WQv Calculation'!$G$8:$G$37)))</f>
        <v/>
      </c>
    </row>
    <row r="203" spans="1:8" ht="13" x14ac:dyDescent="0.35">
      <c r="A203" s="241" t="s">
        <v>226</v>
      </c>
      <c r="B203" s="241"/>
      <c r="C203" s="241"/>
      <c r="D203" s="241"/>
      <c r="E203" s="241"/>
      <c r="F203" s="241"/>
      <c r="G203" s="241"/>
      <c r="H203" s="241"/>
    </row>
    <row r="204" spans="1:8" x14ac:dyDescent="0.35">
      <c r="A204" s="245" t="s">
        <v>246</v>
      </c>
      <c r="B204" s="245"/>
      <c r="C204" s="245"/>
      <c r="D204" s="245"/>
      <c r="E204" s="245"/>
      <c r="F204" s="245"/>
      <c r="G204" s="218"/>
      <c r="H204" s="219" t="str">
        <f>IF(G204="NO","Does not meet design criteria","")</f>
        <v/>
      </c>
    </row>
    <row r="205" spans="1:8" ht="50" x14ac:dyDescent="0.35">
      <c r="A205" s="245" t="s">
        <v>247</v>
      </c>
      <c r="B205" s="245"/>
      <c r="C205" s="245"/>
      <c r="D205" s="245"/>
      <c r="E205" s="245"/>
      <c r="F205" s="245"/>
      <c r="G205" s="218"/>
      <c r="H205" s="224" t="str">
        <f>IF(G205="","This practice cannot be used for hotspot treatment",IF(G205="Yes","Does not meet design criteria",""))</f>
        <v>This practice cannot be used for hotspot treatment</v>
      </c>
    </row>
    <row r="206" spans="1:8" x14ac:dyDescent="0.35">
      <c r="A206" s="245" t="s">
        <v>249</v>
      </c>
      <c r="B206" s="245"/>
      <c r="C206" s="245"/>
      <c r="D206" s="245"/>
      <c r="E206" s="245"/>
      <c r="F206" s="245"/>
      <c r="G206" s="218"/>
      <c r="H206" s="219" t="str">
        <f>IF(G206="NO","Does not meet design criteria","")</f>
        <v/>
      </c>
    </row>
    <row r="207" spans="1:8" x14ac:dyDescent="0.35">
      <c r="A207" s="245" t="s">
        <v>250</v>
      </c>
      <c r="B207" s="245"/>
      <c r="C207" s="245"/>
      <c r="D207" s="245"/>
      <c r="E207" s="245"/>
      <c r="F207" s="245"/>
      <c r="G207" s="218"/>
      <c r="H207" s="219" t="str">
        <f>IF(G207="NO","Does not meet design criteria","")</f>
        <v/>
      </c>
    </row>
    <row r="208" spans="1:8" x14ac:dyDescent="0.35">
      <c r="A208" s="242" t="s">
        <v>251</v>
      </c>
      <c r="B208" s="243"/>
      <c r="C208" s="243"/>
      <c r="D208" s="243"/>
      <c r="E208" s="243"/>
      <c r="F208" s="244"/>
      <c r="G208" s="210"/>
      <c r="H208" s="219" t="str">
        <f>IF(G208&gt;150,"Does not meet design criteria","")</f>
        <v/>
      </c>
    </row>
    <row r="209" spans="1:8" x14ac:dyDescent="0.35">
      <c r="A209" s="242" t="s">
        <v>252</v>
      </c>
      <c r="B209" s="243"/>
      <c r="C209" s="243"/>
      <c r="D209" s="243"/>
      <c r="E209" s="243"/>
      <c r="F209" s="244"/>
      <c r="G209" s="210"/>
      <c r="H209" s="219" t="str">
        <f>IF(G209&gt;75,"Does not meet design criteria","")</f>
        <v/>
      </c>
    </row>
    <row r="210" spans="1:8" x14ac:dyDescent="0.35">
      <c r="A210" s="242" t="s">
        <v>253</v>
      </c>
      <c r="B210" s="243"/>
      <c r="C210" s="243"/>
      <c r="D210" s="243"/>
      <c r="E210" s="243"/>
      <c r="F210" s="244"/>
      <c r="G210" s="210"/>
      <c r="H210" s="219" t="str">
        <f>IF(G210&gt;10,"Does not meet design criteria","")</f>
        <v/>
      </c>
    </row>
    <row r="211" spans="1:8" x14ac:dyDescent="0.35">
      <c r="A211" s="242" t="s">
        <v>254</v>
      </c>
      <c r="B211" s="243"/>
      <c r="C211" s="243"/>
      <c r="D211" s="243"/>
      <c r="E211" s="243"/>
      <c r="F211" s="244"/>
      <c r="G211" s="212">
        <f>IF(G210&lt;=5,35,IF(G210&lt;=10,60,IF(G210&gt;10,"")))</f>
        <v>35</v>
      </c>
      <c r="H211" s="219" t="str">
        <f>IF(G210&gt;10,"Does not meet design criteria","")</f>
        <v/>
      </c>
    </row>
    <row r="212" spans="1:8" x14ac:dyDescent="0.35">
      <c r="A212" s="242" t="s">
        <v>255</v>
      </c>
      <c r="B212" s="243"/>
      <c r="C212" s="243"/>
      <c r="D212" s="243"/>
      <c r="E212" s="243"/>
      <c r="F212" s="244"/>
      <c r="G212" s="210"/>
      <c r="H212" s="219" t="str">
        <f>IF(G212&gt;2,"Does not meet design criteria","")</f>
        <v/>
      </c>
    </row>
    <row r="213" spans="1:8" ht="13" x14ac:dyDescent="0.3">
      <c r="A213" s="246" t="s">
        <v>232</v>
      </c>
      <c r="B213" s="247"/>
      <c r="C213" s="247"/>
      <c r="D213" s="247"/>
      <c r="E213" s="247"/>
      <c r="F213" s="247"/>
      <c r="G213" s="247"/>
      <c r="H213" s="247"/>
    </row>
    <row r="214" spans="1:8" ht="13" x14ac:dyDescent="0.35">
      <c r="A214" s="35"/>
      <c r="B214" s="36"/>
      <c r="C214" s="36"/>
      <c r="D214" s="37"/>
      <c r="E214" s="302" t="s">
        <v>256</v>
      </c>
      <c r="F214" s="302"/>
      <c r="G214" s="38" t="s">
        <v>257</v>
      </c>
      <c r="H214" s="38" t="s">
        <v>258</v>
      </c>
    </row>
    <row r="215" spans="1:8" ht="13" x14ac:dyDescent="0.35">
      <c r="A215" s="289" t="s">
        <v>259</v>
      </c>
      <c r="B215" s="289"/>
      <c r="C215" s="289"/>
      <c r="D215" s="133" t="s">
        <v>260</v>
      </c>
      <c r="E215" s="314"/>
      <c r="F215" s="315"/>
      <c r="G215" s="193" t="s">
        <v>261</v>
      </c>
      <c r="H215" s="219" t="str">
        <f>IF(E215="","",IF(E215&lt;6,"Does not meet design criteria",""))</f>
        <v/>
      </c>
    </row>
    <row r="216" spans="1:8" ht="13" x14ac:dyDescent="0.35">
      <c r="A216" s="289" t="s">
        <v>262</v>
      </c>
      <c r="B216" s="289"/>
      <c r="C216" s="289"/>
      <c r="D216" s="133" t="s">
        <v>263</v>
      </c>
      <c r="E216" s="314"/>
      <c r="F216" s="315"/>
      <c r="G216" s="193" t="s">
        <v>264</v>
      </c>
      <c r="H216" s="219"/>
    </row>
    <row r="217" spans="1:8" ht="13" x14ac:dyDescent="0.35">
      <c r="A217" s="266" t="s">
        <v>265</v>
      </c>
      <c r="B217" s="267"/>
      <c r="C217" s="268"/>
      <c r="D217" s="133" t="s">
        <v>214</v>
      </c>
      <c r="E217" s="314"/>
      <c r="F217" s="315"/>
      <c r="G217" s="193" t="s">
        <v>266</v>
      </c>
      <c r="H217" s="219" t="str">
        <f>IF(E217&gt;0.06,"Does not meet design criteria","")</f>
        <v/>
      </c>
    </row>
    <row r="218" spans="1:8" ht="13" x14ac:dyDescent="0.35">
      <c r="A218" s="289" t="s">
        <v>267</v>
      </c>
      <c r="B218" s="289"/>
      <c r="C218" s="289"/>
      <c r="D218" s="133" t="s">
        <v>268</v>
      </c>
      <c r="E218" s="314"/>
      <c r="F218" s="315"/>
      <c r="G218" s="193"/>
      <c r="H218" s="219"/>
    </row>
    <row r="219" spans="1:8" ht="13" x14ac:dyDescent="0.35">
      <c r="A219" s="266" t="s">
        <v>269</v>
      </c>
      <c r="B219" s="267"/>
      <c r="C219" s="268"/>
      <c r="D219" s="133" t="s">
        <v>270</v>
      </c>
      <c r="E219" s="308" t="e">
        <f>ROUND(((E215^1.25)*(E216^0.625)*(E217^0.5))/(0.338*E218),0)</f>
        <v>#DIV/0!</v>
      </c>
      <c r="F219" s="308"/>
      <c r="G219" s="193" t="s">
        <v>271</v>
      </c>
      <c r="H219" s="219"/>
    </row>
    <row r="220" spans="1:8" ht="13" x14ac:dyDescent="0.35">
      <c r="A220" s="266" t="s">
        <v>272</v>
      </c>
      <c r="B220" s="267"/>
      <c r="C220" s="268"/>
      <c r="D220" s="133" t="s">
        <v>270</v>
      </c>
      <c r="E220" s="308" t="e">
        <f>ROUND(IF(E219&gt;G211,E219,IF(E219&lt;G211,G211)),0)</f>
        <v>#DIV/0!</v>
      </c>
      <c r="F220" s="308"/>
      <c r="G220" s="193" t="s">
        <v>271</v>
      </c>
      <c r="H220" s="219"/>
    </row>
    <row r="221" spans="1:8" x14ac:dyDescent="0.35">
      <c r="A221" s="266" t="s">
        <v>273</v>
      </c>
      <c r="B221" s="267"/>
      <c r="C221" s="267"/>
      <c r="D221" s="268"/>
      <c r="E221" s="306"/>
      <c r="F221" s="307"/>
      <c r="G221" s="266"/>
      <c r="H221" s="268"/>
    </row>
    <row r="222" spans="1:8" ht="13" x14ac:dyDescent="0.35">
      <c r="A222" s="266" t="s">
        <v>274</v>
      </c>
      <c r="B222" s="267"/>
      <c r="C222" s="268"/>
      <c r="D222" s="133" t="s">
        <v>270</v>
      </c>
      <c r="E222" s="308" t="e">
        <f>ROUND(IF(E221="YES",E220*1.15,E220),0)</f>
        <v>#DIV/0!</v>
      </c>
      <c r="F222" s="308"/>
      <c r="G222" s="193" t="s">
        <v>271</v>
      </c>
      <c r="H222" s="219"/>
    </row>
    <row r="223" spans="1:8" ht="13" x14ac:dyDescent="0.35">
      <c r="A223" s="266" t="s">
        <v>275</v>
      </c>
      <c r="B223" s="267"/>
      <c r="C223" s="268"/>
      <c r="D223" s="133" t="s">
        <v>270</v>
      </c>
      <c r="E223" s="305"/>
      <c r="F223" s="305"/>
      <c r="G223" s="193" t="s">
        <v>271</v>
      </c>
      <c r="H223" s="219" t="str">
        <f>IF(E223="","",IF(E219&gt;E222,"Does not meet design criteria",""))</f>
        <v/>
      </c>
    </row>
    <row r="224" spans="1:8" x14ac:dyDescent="0.35">
      <c r="A224" s="313"/>
      <c r="B224" s="313"/>
      <c r="C224" s="313"/>
      <c r="D224" s="313"/>
      <c r="E224" s="313"/>
      <c r="F224" s="313"/>
      <c r="G224" s="313"/>
      <c r="H224" s="313"/>
    </row>
    <row r="225" spans="1:8" ht="13" x14ac:dyDescent="0.35">
      <c r="A225" s="236" t="s">
        <v>276</v>
      </c>
      <c r="B225" s="237"/>
      <c r="C225" s="237"/>
      <c r="D225" s="237"/>
      <c r="E225" s="237"/>
      <c r="F225" s="237"/>
      <c r="G225" s="237"/>
      <c r="H225" s="238"/>
    </row>
    <row r="226" spans="1:8" ht="13" x14ac:dyDescent="0.35">
      <c r="A226" s="239" t="s">
        <v>241</v>
      </c>
      <c r="B226" s="239"/>
      <c r="C226" s="9" t="str">
        <f>IF(G205="Yes",0,IF(F202="","",IF(B202="",0,IF(G204="NO",0,IF(G206="NO",0,IF(G207="NO",0,IF(G208&gt;150,0,IF(G209&gt;75,0,IF(G210&gt;10,0,IF(G212&gt;2,0,IF(E223&lt;E222,0,F202)))))))))))</f>
        <v/>
      </c>
      <c r="D226" s="310" t="s">
        <v>2</v>
      </c>
      <c r="E226" s="311"/>
      <c r="F226" s="311"/>
      <c r="G226" s="311"/>
      <c r="H226" s="312"/>
    </row>
    <row r="227" spans="1:8" ht="13" x14ac:dyDescent="0.35">
      <c r="A227" s="16" t="s">
        <v>56</v>
      </c>
      <c r="B227" s="225" t="str">
        <f>IF('STEP 2-WQv Calculation'!$B$4="","",'STEP 2-WQv Calculation'!$B$4)</f>
        <v/>
      </c>
    </row>
    <row r="228" spans="1:8" ht="13" x14ac:dyDescent="0.35">
      <c r="A228" s="309" t="s">
        <v>243</v>
      </c>
      <c r="B228" s="309"/>
      <c r="C228" s="309"/>
      <c r="D228" s="309"/>
      <c r="E228" s="309"/>
      <c r="F228" s="309"/>
      <c r="G228" s="309"/>
      <c r="H228" s="309"/>
    </row>
    <row r="229" spans="1:8" ht="38.5" x14ac:dyDescent="0.35">
      <c r="A229" s="204" t="s">
        <v>60</v>
      </c>
      <c r="B229" s="205" t="s">
        <v>61</v>
      </c>
      <c r="C229" s="205" t="s">
        <v>62</v>
      </c>
      <c r="D229" s="205" t="s">
        <v>63</v>
      </c>
      <c r="E229" s="205" t="s">
        <v>64</v>
      </c>
      <c r="F229" s="205" t="s">
        <v>65</v>
      </c>
      <c r="G229" s="205" t="s">
        <v>244</v>
      </c>
      <c r="H229" s="206" t="s">
        <v>13</v>
      </c>
    </row>
    <row r="230" spans="1:8" x14ac:dyDescent="0.35">
      <c r="A230" s="17"/>
      <c r="B230" s="18" t="str">
        <f>IF($A230="","",(LOOKUP($A230,'STEP 2-WQv Calculation'!$A$8:$A$37,'STEP 2-WQv Calculation'!$B$8:$B$37)))</f>
        <v/>
      </c>
      <c r="C230" s="18" t="str">
        <f>IF($A230="","",(LOOKUP($A230,'STEP 2-WQv Calculation'!$A$8:$A$37,'STEP 2-WQv Calculation'!$C$8:$C$37)))</f>
        <v/>
      </c>
      <c r="D230" s="53" t="str">
        <f>IF($A230="","",(LOOKUP($A230,'STEP 2-WQv Calculation'!$A$8:$A$37,'STEP 2-WQv Calculation'!$D$8:$D$37)))</f>
        <v/>
      </c>
      <c r="E230" s="18" t="str">
        <f>IF($A230="","",(LOOKUP($A230,'STEP 2-WQv Calculation'!$A$8:$A$37,'STEP 2-WQv Calculation'!$E$8:$E$37)))</f>
        <v/>
      </c>
      <c r="F230" s="42" t="str">
        <f>IF($A230="","",(LOOKUP($A230,'STEP 2-WQv Calculation'!$A$8:$A$37,'STEP 2-WQv Calculation'!$F$8:$F$37)))</f>
        <v/>
      </c>
      <c r="G230" s="18">
        <f>'STEP 2-WQv Calculation'!B117</f>
        <v>0</v>
      </c>
      <c r="H230" s="29" t="str">
        <f>IF($A230="","",(LOOKUP($A230,'STEP 2-WQv Calculation'!$A$8:$A$37,'STEP 2-WQv Calculation'!$G$8:$G$37)))</f>
        <v/>
      </c>
    </row>
    <row r="231" spans="1:8" ht="13" x14ac:dyDescent="0.35">
      <c r="A231" s="241" t="s">
        <v>226</v>
      </c>
      <c r="B231" s="241"/>
      <c r="C231" s="241"/>
      <c r="D231" s="241"/>
      <c r="E231" s="241"/>
      <c r="F231" s="241"/>
      <c r="G231" s="241"/>
      <c r="H231" s="241"/>
    </row>
    <row r="232" spans="1:8" x14ac:dyDescent="0.35">
      <c r="A232" s="245" t="s">
        <v>246</v>
      </c>
      <c r="B232" s="245"/>
      <c r="C232" s="245"/>
      <c r="D232" s="245"/>
      <c r="E232" s="245"/>
      <c r="F232" s="245"/>
      <c r="G232" s="218"/>
      <c r="H232" s="219" t="str">
        <f>IF(G232="NO","Does not meet design criteria","")</f>
        <v/>
      </c>
    </row>
    <row r="233" spans="1:8" ht="50" x14ac:dyDescent="0.35">
      <c r="A233" s="245" t="s">
        <v>247</v>
      </c>
      <c r="B233" s="245"/>
      <c r="C233" s="245"/>
      <c r="D233" s="245"/>
      <c r="E233" s="245"/>
      <c r="F233" s="245"/>
      <c r="G233" s="218"/>
      <c r="H233" s="224" t="str">
        <f>IF(G233="","This practice cannot be used for hotspot treatment",IF(G233="Yes","Does not meet design criteria",""))</f>
        <v>This practice cannot be used for hotspot treatment</v>
      </c>
    </row>
    <row r="234" spans="1:8" x14ac:dyDescent="0.35">
      <c r="A234" s="245" t="s">
        <v>249</v>
      </c>
      <c r="B234" s="245"/>
      <c r="C234" s="245"/>
      <c r="D234" s="245"/>
      <c r="E234" s="245"/>
      <c r="F234" s="245"/>
      <c r="G234" s="218"/>
      <c r="H234" s="219" t="str">
        <f>IF(G234="NO","Does not meet design criteria","")</f>
        <v/>
      </c>
    </row>
    <row r="235" spans="1:8" x14ac:dyDescent="0.35">
      <c r="A235" s="245" t="s">
        <v>250</v>
      </c>
      <c r="B235" s="245"/>
      <c r="C235" s="245"/>
      <c r="D235" s="245"/>
      <c r="E235" s="245"/>
      <c r="F235" s="245"/>
      <c r="G235" s="218"/>
      <c r="H235" s="219" t="str">
        <f>IF(G235="NO","Does not meet design criteria","")</f>
        <v/>
      </c>
    </row>
    <row r="236" spans="1:8" x14ac:dyDescent="0.35">
      <c r="A236" s="242" t="s">
        <v>251</v>
      </c>
      <c r="B236" s="243"/>
      <c r="C236" s="243"/>
      <c r="D236" s="243"/>
      <c r="E236" s="243"/>
      <c r="F236" s="244"/>
      <c r="G236" s="210"/>
      <c r="H236" s="219" t="str">
        <f>IF(G236&gt;150,"Does not meet design criteria","")</f>
        <v/>
      </c>
    </row>
    <row r="237" spans="1:8" x14ac:dyDescent="0.35">
      <c r="A237" s="242" t="s">
        <v>252</v>
      </c>
      <c r="B237" s="243"/>
      <c r="C237" s="243"/>
      <c r="D237" s="243"/>
      <c r="E237" s="243"/>
      <c r="F237" s="244"/>
      <c r="G237" s="210"/>
      <c r="H237" s="219" t="str">
        <f>IF(G237&gt;75,"Does not meet design criteria","")</f>
        <v/>
      </c>
    </row>
    <row r="238" spans="1:8" x14ac:dyDescent="0.35">
      <c r="A238" s="242" t="s">
        <v>253</v>
      </c>
      <c r="B238" s="243"/>
      <c r="C238" s="243"/>
      <c r="D238" s="243"/>
      <c r="E238" s="243"/>
      <c r="F238" s="244"/>
      <c r="G238" s="210"/>
      <c r="H238" s="219" t="str">
        <f>IF(G238&gt;10,"Does not meet design criteria","")</f>
        <v/>
      </c>
    </row>
    <row r="239" spans="1:8" x14ac:dyDescent="0.35">
      <c r="A239" s="242" t="s">
        <v>254</v>
      </c>
      <c r="B239" s="243"/>
      <c r="C239" s="243"/>
      <c r="D239" s="243"/>
      <c r="E239" s="243"/>
      <c r="F239" s="244"/>
      <c r="G239" s="212">
        <f>IF(G238&lt;=5,35,IF(G238&lt;=10,60,IF(G238&gt;10,"")))</f>
        <v>35</v>
      </c>
      <c r="H239" s="219" t="str">
        <f>IF(G238&gt;10,"Does not meet design criteria","")</f>
        <v/>
      </c>
    </row>
    <row r="240" spans="1:8" x14ac:dyDescent="0.35">
      <c r="A240" s="242" t="s">
        <v>255</v>
      </c>
      <c r="B240" s="243"/>
      <c r="C240" s="243"/>
      <c r="D240" s="243"/>
      <c r="E240" s="243"/>
      <c r="F240" s="244"/>
      <c r="G240" s="210"/>
      <c r="H240" s="219" t="str">
        <f>IF(G240&gt;2,"Does not meet design criteria","")</f>
        <v/>
      </c>
    </row>
    <row r="241" spans="1:8" ht="13" x14ac:dyDescent="0.3">
      <c r="A241" s="246" t="s">
        <v>232</v>
      </c>
      <c r="B241" s="247"/>
      <c r="C241" s="247"/>
      <c r="D241" s="247"/>
      <c r="E241" s="247"/>
      <c r="F241" s="247"/>
      <c r="G241" s="247"/>
      <c r="H241" s="247"/>
    </row>
    <row r="242" spans="1:8" ht="13" x14ac:dyDescent="0.35">
      <c r="A242" s="35"/>
      <c r="B242" s="36"/>
      <c r="C242" s="36"/>
      <c r="D242" s="37"/>
      <c r="E242" s="302" t="s">
        <v>256</v>
      </c>
      <c r="F242" s="302"/>
      <c r="G242" s="38" t="s">
        <v>257</v>
      </c>
      <c r="H242" s="38" t="s">
        <v>258</v>
      </c>
    </row>
    <row r="243" spans="1:8" ht="13" x14ac:dyDescent="0.35">
      <c r="A243" s="289" t="s">
        <v>259</v>
      </c>
      <c r="B243" s="289"/>
      <c r="C243" s="289"/>
      <c r="D243" s="133" t="s">
        <v>260</v>
      </c>
      <c r="E243" s="314"/>
      <c r="F243" s="315"/>
      <c r="G243" s="193" t="s">
        <v>261</v>
      </c>
      <c r="H243" s="219" t="str">
        <f>IF(E243="","",IF(E243&lt;6,"Does not meet design criteria",""))</f>
        <v/>
      </c>
    </row>
    <row r="244" spans="1:8" ht="13" x14ac:dyDescent="0.35">
      <c r="A244" s="289" t="s">
        <v>262</v>
      </c>
      <c r="B244" s="289"/>
      <c r="C244" s="289"/>
      <c r="D244" s="133" t="s">
        <v>263</v>
      </c>
      <c r="E244" s="314"/>
      <c r="F244" s="315"/>
      <c r="G244" s="193" t="s">
        <v>264</v>
      </c>
      <c r="H244" s="219"/>
    </row>
    <row r="245" spans="1:8" ht="13" x14ac:dyDescent="0.35">
      <c r="A245" s="266" t="s">
        <v>265</v>
      </c>
      <c r="B245" s="267"/>
      <c r="C245" s="268"/>
      <c r="D245" s="133" t="s">
        <v>214</v>
      </c>
      <c r="E245" s="314"/>
      <c r="F245" s="315"/>
      <c r="G245" s="193" t="s">
        <v>266</v>
      </c>
      <c r="H245" s="219" t="str">
        <f>IF(E245&gt;0.06,"Does not meet design criteria","")</f>
        <v/>
      </c>
    </row>
    <row r="246" spans="1:8" ht="13" x14ac:dyDescent="0.35">
      <c r="A246" s="289" t="s">
        <v>267</v>
      </c>
      <c r="B246" s="289"/>
      <c r="C246" s="289"/>
      <c r="D246" s="133" t="s">
        <v>268</v>
      </c>
      <c r="E246" s="314"/>
      <c r="F246" s="315"/>
      <c r="G246" s="193"/>
      <c r="H246" s="219"/>
    </row>
    <row r="247" spans="1:8" ht="13" x14ac:dyDescent="0.35">
      <c r="A247" s="266" t="s">
        <v>269</v>
      </c>
      <c r="B247" s="267"/>
      <c r="C247" s="268"/>
      <c r="D247" s="133" t="s">
        <v>270</v>
      </c>
      <c r="E247" s="308" t="e">
        <f>ROUND(((E243^1.25)*(E244^0.625)*(E245^0.5))/(0.338*E246),0)</f>
        <v>#DIV/0!</v>
      </c>
      <c r="F247" s="308"/>
      <c r="G247" s="193" t="s">
        <v>271</v>
      </c>
      <c r="H247" s="219"/>
    </row>
    <row r="248" spans="1:8" ht="13" x14ac:dyDescent="0.35">
      <c r="A248" s="266" t="s">
        <v>272</v>
      </c>
      <c r="B248" s="267"/>
      <c r="C248" s="268"/>
      <c r="D248" s="133" t="s">
        <v>270</v>
      </c>
      <c r="E248" s="308" t="e">
        <f>ROUND(IF(E247&gt;G239,E247,IF(E247&lt;G239,G239)),0)</f>
        <v>#DIV/0!</v>
      </c>
      <c r="F248" s="308"/>
      <c r="G248" s="193" t="s">
        <v>271</v>
      </c>
      <c r="H248" s="219"/>
    </row>
    <row r="249" spans="1:8" x14ac:dyDescent="0.35">
      <c r="A249" s="266" t="s">
        <v>273</v>
      </c>
      <c r="B249" s="267"/>
      <c r="C249" s="267"/>
      <c r="D249" s="268"/>
      <c r="E249" s="306"/>
      <c r="F249" s="307"/>
      <c r="G249" s="266"/>
      <c r="H249" s="268"/>
    </row>
    <row r="250" spans="1:8" ht="13" x14ac:dyDescent="0.35">
      <c r="A250" s="266" t="s">
        <v>274</v>
      </c>
      <c r="B250" s="267"/>
      <c r="C250" s="268"/>
      <c r="D250" s="133" t="s">
        <v>270</v>
      </c>
      <c r="E250" s="308" t="e">
        <f>ROUND(IF(E249="YES",E248*1.15,E248),0)</f>
        <v>#DIV/0!</v>
      </c>
      <c r="F250" s="308"/>
      <c r="G250" s="193" t="s">
        <v>271</v>
      </c>
      <c r="H250" s="219"/>
    </row>
    <row r="251" spans="1:8" ht="13" x14ac:dyDescent="0.35">
      <c r="A251" s="266" t="s">
        <v>275</v>
      </c>
      <c r="B251" s="267"/>
      <c r="C251" s="268"/>
      <c r="D251" s="133" t="s">
        <v>270</v>
      </c>
      <c r="E251" s="305"/>
      <c r="F251" s="305"/>
      <c r="G251" s="193" t="s">
        <v>271</v>
      </c>
      <c r="H251" s="219" t="str">
        <f>IF(E251="","",IF(E247&gt;E250,"Does not meet design criteria",""))</f>
        <v/>
      </c>
    </row>
    <row r="252" spans="1:8" x14ac:dyDescent="0.35">
      <c r="A252" s="313"/>
      <c r="B252" s="313"/>
      <c r="C252" s="313"/>
      <c r="D252" s="313"/>
      <c r="E252" s="313"/>
      <c r="F252" s="313"/>
      <c r="G252" s="313"/>
      <c r="H252" s="313"/>
    </row>
    <row r="253" spans="1:8" ht="13" x14ac:dyDescent="0.35">
      <c r="A253" s="236" t="s">
        <v>276</v>
      </c>
      <c r="B253" s="237"/>
      <c r="C253" s="237"/>
      <c r="D253" s="237"/>
      <c r="E253" s="237"/>
      <c r="F253" s="237"/>
      <c r="G253" s="237"/>
      <c r="H253" s="238"/>
    </row>
    <row r="254" spans="1:8" ht="13" x14ac:dyDescent="0.35">
      <c r="A254" s="239" t="s">
        <v>241</v>
      </c>
      <c r="B254" s="239"/>
      <c r="C254" s="9" t="str">
        <f>IF(G233="Yes",0,IF(F230="","",IF(B230="",0,IF(G232="NO",0,IF(G234="NO",0,IF(G235="NO",0,IF(G236&gt;150,0,IF(G237&gt;75,0,IF(G238&gt;10,0,IF(G240&gt;2,0,IF(E251&lt;E250,0,F230)))))))))))</f>
        <v/>
      </c>
      <c r="D254" s="310" t="s">
        <v>2</v>
      </c>
      <c r="E254" s="311"/>
      <c r="F254" s="311"/>
      <c r="G254" s="311"/>
      <c r="H254" s="312"/>
    </row>
    <row r="255" spans="1:8" ht="13" x14ac:dyDescent="0.35">
      <c r="A255" s="16" t="s">
        <v>56</v>
      </c>
      <c r="B255" s="225" t="str">
        <f>IF('STEP 2-WQv Calculation'!$B$4="","",'STEP 2-WQv Calculation'!$B$4)</f>
        <v/>
      </c>
    </row>
    <row r="256" spans="1:8" ht="13" x14ac:dyDescent="0.35">
      <c r="A256" s="309" t="s">
        <v>243</v>
      </c>
      <c r="B256" s="309"/>
      <c r="C256" s="309"/>
      <c r="D256" s="309"/>
      <c r="E256" s="309"/>
      <c r="F256" s="309"/>
      <c r="G256" s="309"/>
      <c r="H256" s="309"/>
    </row>
    <row r="257" spans="1:8" ht="38.5" x14ac:dyDescent="0.35">
      <c r="A257" s="204" t="s">
        <v>60</v>
      </c>
      <c r="B257" s="205" t="s">
        <v>61</v>
      </c>
      <c r="C257" s="205" t="s">
        <v>62</v>
      </c>
      <c r="D257" s="205" t="s">
        <v>63</v>
      </c>
      <c r="E257" s="205" t="s">
        <v>64</v>
      </c>
      <c r="F257" s="205" t="s">
        <v>65</v>
      </c>
      <c r="G257" s="205" t="s">
        <v>244</v>
      </c>
      <c r="H257" s="206" t="s">
        <v>13</v>
      </c>
    </row>
    <row r="258" spans="1:8" x14ac:dyDescent="0.35">
      <c r="A258" s="17"/>
      <c r="B258" s="18" t="str">
        <f>IF($A258="","",(LOOKUP($A258,'STEP 2-WQv Calculation'!$A$8:$A$37,'STEP 2-WQv Calculation'!$B$8:$B$37)))</f>
        <v/>
      </c>
      <c r="C258" s="18" t="str">
        <f>IF($A258="","",(LOOKUP($A258,'STEP 2-WQv Calculation'!$A$8:$A$37,'STEP 2-WQv Calculation'!$C$8:$C$37)))</f>
        <v/>
      </c>
      <c r="D258" s="53" t="str">
        <f>IF($A258="","",(LOOKUP($A258,'STEP 2-WQv Calculation'!$A$8:$A$37,'STEP 2-WQv Calculation'!$D$8:$D$37)))</f>
        <v/>
      </c>
      <c r="E258" s="18" t="str">
        <f>IF($A258="","",(LOOKUP($A258,'STEP 2-WQv Calculation'!$A$8:$A$37,'STEP 2-WQv Calculation'!$E$8:$E$37)))</f>
        <v/>
      </c>
      <c r="F258" s="42" t="str">
        <f>IF($A258="","",(LOOKUP($A258,'STEP 2-WQv Calculation'!$A$8:$A$37,'STEP 2-WQv Calculation'!$F$8:$F$37)))</f>
        <v/>
      </c>
      <c r="G258" s="18">
        <f>'STEP 2-WQv Calculation'!B145</f>
        <v>0</v>
      </c>
      <c r="H258" s="29" t="str">
        <f>IF($A258="","",(LOOKUP($A258,'STEP 2-WQv Calculation'!$A$8:$A$37,'STEP 2-WQv Calculation'!$G$8:$G$37)))</f>
        <v/>
      </c>
    </row>
    <row r="259" spans="1:8" ht="13" x14ac:dyDescent="0.35">
      <c r="A259" s="241" t="s">
        <v>226</v>
      </c>
      <c r="B259" s="241"/>
      <c r="C259" s="241"/>
      <c r="D259" s="241"/>
      <c r="E259" s="241"/>
      <c r="F259" s="241"/>
      <c r="G259" s="241"/>
      <c r="H259" s="241"/>
    </row>
    <row r="260" spans="1:8" x14ac:dyDescent="0.35">
      <c r="A260" s="245" t="s">
        <v>246</v>
      </c>
      <c r="B260" s="245"/>
      <c r="C260" s="245"/>
      <c r="D260" s="245"/>
      <c r="E260" s="245"/>
      <c r="F260" s="245"/>
      <c r="G260" s="218"/>
      <c r="H260" s="219" t="str">
        <f>IF(G260="NO","Does not meet design criteria","")</f>
        <v/>
      </c>
    </row>
    <row r="261" spans="1:8" ht="50" x14ac:dyDescent="0.35">
      <c r="A261" s="245" t="s">
        <v>247</v>
      </c>
      <c r="B261" s="245"/>
      <c r="C261" s="245"/>
      <c r="D261" s="245"/>
      <c r="E261" s="245"/>
      <c r="F261" s="245"/>
      <c r="G261" s="218"/>
      <c r="H261" s="224" t="str">
        <f>IF(G261="","This practice cannot be used for hotspot treatment",IF(G261="Yes","Does not meet design criteria",""))</f>
        <v>This practice cannot be used for hotspot treatment</v>
      </c>
    </row>
    <row r="262" spans="1:8" x14ac:dyDescent="0.35">
      <c r="A262" s="245" t="s">
        <v>249</v>
      </c>
      <c r="B262" s="245"/>
      <c r="C262" s="245"/>
      <c r="D262" s="245"/>
      <c r="E262" s="245"/>
      <c r="F262" s="245"/>
      <c r="G262" s="218"/>
      <c r="H262" s="219" t="str">
        <f>IF(G262="NO","Does not meet design criteria","")</f>
        <v/>
      </c>
    </row>
    <row r="263" spans="1:8" x14ac:dyDescent="0.35">
      <c r="A263" s="245" t="s">
        <v>250</v>
      </c>
      <c r="B263" s="245"/>
      <c r="C263" s="245"/>
      <c r="D263" s="245"/>
      <c r="E263" s="245"/>
      <c r="F263" s="245"/>
      <c r="G263" s="218"/>
      <c r="H263" s="219" t="str">
        <f>IF(G263="NO","Does not meet design criteria","")</f>
        <v/>
      </c>
    </row>
    <row r="264" spans="1:8" x14ac:dyDescent="0.35">
      <c r="A264" s="242" t="s">
        <v>251</v>
      </c>
      <c r="B264" s="243"/>
      <c r="C264" s="243"/>
      <c r="D264" s="243"/>
      <c r="E264" s="243"/>
      <c r="F264" s="244"/>
      <c r="G264" s="210"/>
      <c r="H264" s="219" t="str">
        <f>IF(G264&gt;150,"Does not meet design criteria","")</f>
        <v/>
      </c>
    </row>
    <row r="265" spans="1:8" x14ac:dyDescent="0.35">
      <c r="A265" s="242" t="s">
        <v>252</v>
      </c>
      <c r="B265" s="243"/>
      <c r="C265" s="243"/>
      <c r="D265" s="243"/>
      <c r="E265" s="243"/>
      <c r="F265" s="244"/>
      <c r="G265" s="210"/>
      <c r="H265" s="219" t="str">
        <f>IF(G265&gt;75,"Does not meet design criteria","")</f>
        <v/>
      </c>
    </row>
    <row r="266" spans="1:8" x14ac:dyDescent="0.35">
      <c r="A266" s="242" t="s">
        <v>253</v>
      </c>
      <c r="B266" s="243"/>
      <c r="C266" s="243"/>
      <c r="D266" s="243"/>
      <c r="E266" s="243"/>
      <c r="F266" s="244"/>
      <c r="G266" s="210"/>
      <c r="H266" s="219" t="str">
        <f>IF(G266&gt;10,"Does not meet design criteria","")</f>
        <v/>
      </c>
    </row>
    <row r="267" spans="1:8" x14ac:dyDescent="0.35">
      <c r="A267" s="242" t="s">
        <v>254</v>
      </c>
      <c r="B267" s="243"/>
      <c r="C267" s="243"/>
      <c r="D267" s="243"/>
      <c r="E267" s="243"/>
      <c r="F267" s="244"/>
      <c r="G267" s="212">
        <f>IF(G266&lt;=5,35,IF(G266&lt;=10,60,IF(G266&gt;10,"")))</f>
        <v>35</v>
      </c>
      <c r="H267" s="219" t="str">
        <f>IF(G266&gt;10,"Does not meet design criteria","")</f>
        <v/>
      </c>
    </row>
    <row r="268" spans="1:8" x14ac:dyDescent="0.35">
      <c r="A268" s="242" t="s">
        <v>255</v>
      </c>
      <c r="B268" s="243"/>
      <c r="C268" s="243"/>
      <c r="D268" s="243"/>
      <c r="E268" s="243"/>
      <c r="F268" s="244"/>
      <c r="G268" s="210"/>
      <c r="H268" s="219" t="str">
        <f>IF(G268&gt;2,"Does not meet design criteria","")</f>
        <v/>
      </c>
    </row>
    <row r="269" spans="1:8" ht="13" x14ac:dyDescent="0.3">
      <c r="A269" s="246" t="s">
        <v>232</v>
      </c>
      <c r="B269" s="247"/>
      <c r="C269" s="247"/>
      <c r="D269" s="247"/>
      <c r="E269" s="247"/>
      <c r="F269" s="247"/>
      <c r="G269" s="247"/>
      <c r="H269" s="247"/>
    </row>
    <row r="270" spans="1:8" ht="13" x14ac:dyDescent="0.35">
      <c r="A270" s="35"/>
      <c r="B270" s="36"/>
      <c r="C270" s="36"/>
      <c r="D270" s="37"/>
      <c r="E270" s="302" t="s">
        <v>256</v>
      </c>
      <c r="F270" s="302"/>
      <c r="G270" s="38" t="s">
        <v>257</v>
      </c>
      <c r="H270" s="38" t="s">
        <v>258</v>
      </c>
    </row>
    <row r="271" spans="1:8" ht="13" x14ac:dyDescent="0.35">
      <c r="A271" s="289" t="s">
        <v>259</v>
      </c>
      <c r="B271" s="289"/>
      <c r="C271" s="289"/>
      <c r="D271" s="133" t="s">
        <v>260</v>
      </c>
      <c r="E271" s="314"/>
      <c r="F271" s="315"/>
      <c r="G271" s="193" t="s">
        <v>261</v>
      </c>
      <c r="H271" s="219" t="str">
        <f>IF(E271="","",IF(E271&lt;6,"Does not meet design criteria",""))</f>
        <v/>
      </c>
    </row>
    <row r="272" spans="1:8" ht="13" x14ac:dyDescent="0.35">
      <c r="A272" s="289" t="s">
        <v>262</v>
      </c>
      <c r="B272" s="289"/>
      <c r="C272" s="289"/>
      <c r="D272" s="133" t="s">
        <v>263</v>
      </c>
      <c r="E272" s="314"/>
      <c r="F272" s="315"/>
      <c r="G272" s="193" t="s">
        <v>264</v>
      </c>
      <c r="H272" s="219"/>
    </row>
    <row r="273" spans="1:8" ht="13" x14ac:dyDescent="0.35">
      <c r="A273" s="266" t="s">
        <v>265</v>
      </c>
      <c r="B273" s="267"/>
      <c r="C273" s="268"/>
      <c r="D273" s="133" t="s">
        <v>214</v>
      </c>
      <c r="E273" s="314"/>
      <c r="F273" s="315"/>
      <c r="G273" s="193" t="s">
        <v>266</v>
      </c>
      <c r="H273" s="219" t="str">
        <f>IF(E273&gt;0.06,"Does not meet design criteria","")</f>
        <v/>
      </c>
    </row>
    <row r="274" spans="1:8" ht="13" x14ac:dyDescent="0.35">
      <c r="A274" s="289" t="s">
        <v>267</v>
      </c>
      <c r="B274" s="289"/>
      <c r="C274" s="289"/>
      <c r="D274" s="133" t="s">
        <v>268</v>
      </c>
      <c r="E274" s="314"/>
      <c r="F274" s="315"/>
      <c r="G274" s="193"/>
      <c r="H274" s="219"/>
    </row>
    <row r="275" spans="1:8" ht="13" x14ac:dyDescent="0.35">
      <c r="A275" s="266" t="s">
        <v>269</v>
      </c>
      <c r="B275" s="267"/>
      <c r="C275" s="268"/>
      <c r="D275" s="133" t="s">
        <v>270</v>
      </c>
      <c r="E275" s="308" t="e">
        <f>ROUND(((E271^1.25)*(E272^0.625)*(E273^0.5))/(0.338*E274),0)</f>
        <v>#DIV/0!</v>
      </c>
      <c r="F275" s="308"/>
      <c r="G275" s="193" t="s">
        <v>271</v>
      </c>
      <c r="H275" s="219"/>
    </row>
    <row r="276" spans="1:8" ht="13" x14ac:dyDescent="0.35">
      <c r="A276" s="266" t="s">
        <v>272</v>
      </c>
      <c r="B276" s="267"/>
      <c r="C276" s="268"/>
      <c r="D276" s="133" t="s">
        <v>270</v>
      </c>
      <c r="E276" s="308" t="e">
        <f>ROUND(IF(E275&gt;G267,E275,IF(E275&lt;G267,G267)),0)</f>
        <v>#DIV/0!</v>
      </c>
      <c r="F276" s="308"/>
      <c r="G276" s="193" t="s">
        <v>271</v>
      </c>
      <c r="H276" s="219"/>
    </row>
    <row r="277" spans="1:8" x14ac:dyDescent="0.35">
      <c r="A277" s="266" t="s">
        <v>273</v>
      </c>
      <c r="B277" s="267"/>
      <c r="C277" s="267"/>
      <c r="D277" s="268"/>
      <c r="E277" s="306"/>
      <c r="F277" s="307"/>
      <c r="G277" s="266"/>
      <c r="H277" s="268"/>
    </row>
    <row r="278" spans="1:8" ht="13" x14ac:dyDescent="0.35">
      <c r="A278" s="266" t="s">
        <v>274</v>
      </c>
      <c r="B278" s="267"/>
      <c r="C278" s="268"/>
      <c r="D278" s="133" t="s">
        <v>270</v>
      </c>
      <c r="E278" s="308" t="e">
        <f>ROUND(IF(E277="YES",E276*1.15,E276),0)</f>
        <v>#DIV/0!</v>
      </c>
      <c r="F278" s="308"/>
      <c r="G278" s="193" t="s">
        <v>271</v>
      </c>
      <c r="H278" s="219"/>
    </row>
    <row r="279" spans="1:8" ht="13" x14ac:dyDescent="0.35">
      <c r="A279" s="266" t="s">
        <v>275</v>
      </c>
      <c r="B279" s="267"/>
      <c r="C279" s="268"/>
      <c r="D279" s="133" t="s">
        <v>270</v>
      </c>
      <c r="E279" s="305"/>
      <c r="F279" s="305"/>
      <c r="G279" s="193" t="s">
        <v>271</v>
      </c>
      <c r="H279" s="219" t="str">
        <f>IF(E279="","",IF(E275&gt;E278,"Does not meet design criteria",""))</f>
        <v/>
      </c>
    </row>
    <row r="280" spans="1:8" x14ac:dyDescent="0.35">
      <c r="A280" s="313"/>
      <c r="B280" s="313"/>
      <c r="C280" s="313"/>
      <c r="D280" s="313"/>
      <c r="E280" s="313"/>
      <c r="F280" s="313"/>
      <c r="G280" s="313"/>
      <c r="H280" s="313"/>
    </row>
    <row r="281" spans="1:8" ht="13" x14ac:dyDescent="0.35">
      <c r="A281" s="236" t="s">
        <v>276</v>
      </c>
      <c r="B281" s="237"/>
      <c r="C281" s="237"/>
      <c r="D281" s="237"/>
      <c r="E281" s="237"/>
      <c r="F281" s="237"/>
      <c r="G281" s="237"/>
      <c r="H281" s="238"/>
    </row>
    <row r="282" spans="1:8" ht="13" x14ac:dyDescent="0.35">
      <c r="A282" s="239" t="s">
        <v>241</v>
      </c>
      <c r="B282" s="239"/>
      <c r="C282" s="9" t="str">
        <f>IF(G261="Yes",0,IF(F258="","",IF(B258="",0,IF(G260="NO",0,IF(G262="NO",0,IF(G263="NO",0,IF(G264&gt;150,0,IF(G265&gt;75,0,IF(G266&gt;10,0,IF(G268&gt;2,0,IF(E279&lt;E278,0,F258)))))))))))</f>
        <v/>
      </c>
      <c r="D282" s="310" t="s">
        <v>2</v>
      </c>
      <c r="E282" s="311"/>
      <c r="F282" s="311"/>
      <c r="G282" s="311"/>
      <c r="H282" s="312"/>
    </row>
  </sheetData>
  <sheetProtection algorithmName="SHA-512" hashValue="m0ThnqOVpYwo+l2qAkkzYBT8cSIc+Dcu1yN2/zyP0990IBKapbRlpanFejpD9qYRnQiGJXxh4rghxIodwJGnbw==" saltValue="jIPwum7+RnCrz+JpTGuzcg==" spinCount="100000" sheet="1" formatColumns="0" formatRows="0"/>
  <mergeCells count="366">
    <mergeCell ref="A278:C278"/>
    <mergeCell ref="E278:F278"/>
    <mergeCell ref="A279:C279"/>
    <mergeCell ref="E279:F279"/>
    <mergeCell ref="A280:H280"/>
    <mergeCell ref="A281:H281"/>
    <mergeCell ref="A282:B282"/>
    <mergeCell ref="D282:H282"/>
    <mergeCell ref="A274:C274"/>
    <mergeCell ref="E274:F274"/>
    <mergeCell ref="A275:C275"/>
    <mergeCell ref="E275:F275"/>
    <mergeCell ref="A276:C276"/>
    <mergeCell ref="E276:F276"/>
    <mergeCell ref="A277:D277"/>
    <mergeCell ref="E277:F277"/>
    <mergeCell ref="G277:H277"/>
    <mergeCell ref="A268:F268"/>
    <mergeCell ref="A269:H269"/>
    <mergeCell ref="E270:F270"/>
    <mergeCell ref="A271:C271"/>
    <mergeCell ref="E271:F271"/>
    <mergeCell ref="A272:C272"/>
    <mergeCell ref="E272:F272"/>
    <mergeCell ref="A273:C273"/>
    <mergeCell ref="E273:F273"/>
    <mergeCell ref="A259:H259"/>
    <mergeCell ref="A260:F260"/>
    <mergeCell ref="A261:F261"/>
    <mergeCell ref="A262:F262"/>
    <mergeCell ref="A263:F263"/>
    <mergeCell ref="A264:F264"/>
    <mergeCell ref="A265:F265"/>
    <mergeCell ref="A266:F266"/>
    <mergeCell ref="A267:F267"/>
    <mergeCell ref="A250:C250"/>
    <mergeCell ref="E250:F250"/>
    <mergeCell ref="A251:C251"/>
    <mergeCell ref="E251:F251"/>
    <mergeCell ref="A252:H252"/>
    <mergeCell ref="A253:H253"/>
    <mergeCell ref="A254:B254"/>
    <mergeCell ref="D254:H254"/>
    <mergeCell ref="A256:H256"/>
    <mergeCell ref="A246:C246"/>
    <mergeCell ref="E246:F246"/>
    <mergeCell ref="A247:C247"/>
    <mergeCell ref="E247:F247"/>
    <mergeCell ref="A248:C248"/>
    <mergeCell ref="E248:F248"/>
    <mergeCell ref="A249:D249"/>
    <mergeCell ref="E249:F249"/>
    <mergeCell ref="G249:H249"/>
    <mergeCell ref="A240:F240"/>
    <mergeCell ref="A241:H241"/>
    <mergeCell ref="E242:F242"/>
    <mergeCell ref="A243:C243"/>
    <mergeCell ref="E243:F243"/>
    <mergeCell ref="A244:C244"/>
    <mergeCell ref="E244:F244"/>
    <mergeCell ref="A245:C245"/>
    <mergeCell ref="E245:F245"/>
    <mergeCell ref="A231:H231"/>
    <mergeCell ref="A232:F232"/>
    <mergeCell ref="A233:F233"/>
    <mergeCell ref="A234:F234"/>
    <mergeCell ref="A235:F235"/>
    <mergeCell ref="A236:F236"/>
    <mergeCell ref="A237:F237"/>
    <mergeCell ref="A238:F238"/>
    <mergeCell ref="A239:F239"/>
    <mergeCell ref="A222:C222"/>
    <mergeCell ref="E222:F222"/>
    <mergeCell ref="A223:C223"/>
    <mergeCell ref="E223:F223"/>
    <mergeCell ref="A224:H224"/>
    <mergeCell ref="A225:H225"/>
    <mergeCell ref="A226:B226"/>
    <mergeCell ref="D226:H226"/>
    <mergeCell ref="A228:H228"/>
    <mergeCell ref="A218:C218"/>
    <mergeCell ref="E218:F218"/>
    <mergeCell ref="A219:C219"/>
    <mergeCell ref="E219:F219"/>
    <mergeCell ref="A220:C220"/>
    <mergeCell ref="E220:F220"/>
    <mergeCell ref="A221:D221"/>
    <mergeCell ref="E221:F221"/>
    <mergeCell ref="G221:H221"/>
    <mergeCell ref="A212:F212"/>
    <mergeCell ref="A213:H213"/>
    <mergeCell ref="E214:F214"/>
    <mergeCell ref="A215:C215"/>
    <mergeCell ref="E215:F215"/>
    <mergeCell ref="A216:C216"/>
    <mergeCell ref="E216:F216"/>
    <mergeCell ref="A217:C217"/>
    <mergeCell ref="E217:F217"/>
    <mergeCell ref="A203:H203"/>
    <mergeCell ref="A204:F204"/>
    <mergeCell ref="A205:F205"/>
    <mergeCell ref="A206:F206"/>
    <mergeCell ref="A207:F207"/>
    <mergeCell ref="A208:F208"/>
    <mergeCell ref="A209:F209"/>
    <mergeCell ref="A210:F210"/>
    <mergeCell ref="A211:F211"/>
    <mergeCell ref="A194:C194"/>
    <mergeCell ref="E194:F194"/>
    <mergeCell ref="A195:C195"/>
    <mergeCell ref="E195:F195"/>
    <mergeCell ref="A196:H196"/>
    <mergeCell ref="A197:H197"/>
    <mergeCell ref="A198:B198"/>
    <mergeCell ref="D198:H198"/>
    <mergeCell ref="A200:H200"/>
    <mergeCell ref="A190:C190"/>
    <mergeCell ref="E190:F190"/>
    <mergeCell ref="A191:C191"/>
    <mergeCell ref="E191:F191"/>
    <mergeCell ref="A192:C192"/>
    <mergeCell ref="E192:F192"/>
    <mergeCell ref="A193:D193"/>
    <mergeCell ref="E193:F193"/>
    <mergeCell ref="G193:H193"/>
    <mergeCell ref="A184:F184"/>
    <mergeCell ref="A185:H185"/>
    <mergeCell ref="E186:F186"/>
    <mergeCell ref="A187:C187"/>
    <mergeCell ref="E187:F187"/>
    <mergeCell ref="A188:C188"/>
    <mergeCell ref="E188:F188"/>
    <mergeCell ref="A189:C189"/>
    <mergeCell ref="E189:F189"/>
    <mergeCell ref="A175:H175"/>
    <mergeCell ref="A176:F176"/>
    <mergeCell ref="A177:F177"/>
    <mergeCell ref="A178:F178"/>
    <mergeCell ref="A179:F179"/>
    <mergeCell ref="A180:F180"/>
    <mergeCell ref="A181:F181"/>
    <mergeCell ref="A182:F182"/>
    <mergeCell ref="A183:F183"/>
    <mergeCell ref="A166:C166"/>
    <mergeCell ref="E166:F166"/>
    <mergeCell ref="A167:C167"/>
    <mergeCell ref="E167:F167"/>
    <mergeCell ref="A168:H168"/>
    <mergeCell ref="A169:H169"/>
    <mergeCell ref="A170:B170"/>
    <mergeCell ref="D170:H170"/>
    <mergeCell ref="A172:H172"/>
    <mergeCell ref="A162:C162"/>
    <mergeCell ref="E162:F162"/>
    <mergeCell ref="A163:C163"/>
    <mergeCell ref="E163:F163"/>
    <mergeCell ref="A164:C164"/>
    <mergeCell ref="E164:F164"/>
    <mergeCell ref="A165:D165"/>
    <mergeCell ref="E165:F165"/>
    <mergeCell ref="G165:H165"/>
    <mergeCell ref="A155:F155"/>
    <mergeCell ref="A156:F156"/>
    <mergeCell ref="A157:H157"/>
    <mergeCell ref="E158:F158"/>
    <mergeCell ref="A159:C159"/>
    <mergeCell ref="E159:F159"/>
    <mergeCell ref="A160:C160"/>
    <mergeCell ref="E160:F160"/>
    <mergeCell ref="A161:C161"/>
    <mergeCell ref="E161:F161"/>
    <mergeCell ref="A144:H144"/>
    <mergeCell ref="A147:H147"/>
    <mergeCell ref="A148:F148"/>
    <mergeCell ref="A149:F149"/>
    <mergeCell ref="A150:F150"/>
    <mergeCell ref="A151:F151"/>
    <mergeCell ref="A152:F152"/>
    <mergeCell ref="A153:F153"/>
    <mergeCell ref="A154:F154"/>
    <mergeCell ref="A140:H140"/>
    <mergeCell ref="A141:H141"/>
    <mergeCell ref="A142:B142"/>
    <mergeCell ref="D142:H142"/>
    <mergeCell ref="I2:J2"/>
    <mergeCell ref="I3:J3"/>
    <mergeCell ref="I4:J4"/>
    <mergeCell ref="G137:H137"/>
    <mergeCell ref="A138:C138"/>
    <mergeCell ref="E138:F138"/>
    <mergeCell ref="A139:C139"/>
    <mergeCell ref="E139:F139"/>
    <mergeCell ref="A135:C135"/>
    <mergeCell ref="E135:F135"/>
    <mergeCell ref="A136:C136"/>
    <mergeCell ref="E136:F136"/>
    <mergeCell ref="A137:D137"/>
    <mergeCell ref="E137:F137"/>
    <mergeCell ref="A132:C132"/>
    <mergeCell ref="E132:F132"/>
    <mergeCell ref="A133:C133"/>
    <mergeCell ref="E133:F133"/>
    <mergeCell ref="A134:C134"/>
    <mergeCell ref="E134:F134"/>
    <mergeCell ref="A128:F128"/>
    <mergeCell ref="A129:H129"/>
    <mergeCell ref="E130:F130"/>
    <mergeCell ref="A131:C131"/>
    <mergeCell ref="E131:F131"/>
    <mergeCell ref="A123:F123"/>
    <mergeCell ref="A124:F124"/>
    <mergeCell ref="A125:F125"/>
    <mergeCell ref="A126:F126"/>
    <mergeCell ref="A127:F127"/>
    <mergeCell ref="A119:H119"/>
    <mergeCell ref="A120:F120"/>
    <mergeCell ref="A122:F122"/>
    <mergeCell ref="A112:H112"/>
    <mergeCell ref="A113:H113"/>
    <mergeCell ref="A114:B114"/>
    <mergeCell ref="D114:H114"/>
    <mergeCell ref="A116:H116"/>
    <mergeCell ref="A121:F121"/>
    <mergeCell ref="G109:H109"/>
    <mergeCell ref="A110:C110"/>
    <mergeCell ref="E110:F110"/>
    <mergeCell ref="A111:C111"/>
    <mergeCell ref="E111:F111"/>
    <mergeCell ref="A107:C107"/>
    <mergeCell ref="E107:F107"/>
    <mergeCell ref="A108:C108"/>
    <mergeCell ref="E108:F108"/>
    <mergeCell ref="A109:D109"/>
    <mergeCell ref="E109:F109"/>
    <mergeCell ref="A104:C104"/>
    <mergeCell ref="E104:F104"/>
    <mergeCell ref="A105:C105"/>
    <mergeCell ref="E105:F105"/>
    <mergeCell ref="A106:C106"/>
    <mergeCell ref="E106:F106"/>
    <mergeCell ref="A100:F100"/>
    <mergeCell ref="A101:H101"/>
    <mergeCell ref="E102:F102"/>
    <mergeCell ref="A103:C103"/>
    <mergeCell ref="E103:F103"/>
    <mergeCell ref="A95:F95"/>
    <mergeCell ref="A96:F96"/>
    <mergeCell ref="A97:F97"/>
    <mergeCell ref="A98:F98"/>
    <mergeCell ref="A99:F99"/>
    <mergeCell ref="A91:H91"/>
    <mergeCell ref="A92:F92"/>
    <mergeCell ref="A94:F94"/>
    <mergeCell ref="A84:H84"/>
    <mergeCell ref="A85:H85"/>
    <mergeCell ref="A86:B86"/>
    <mergeCell ref="D86:H86"/>
    <mergeCell ref="A88:H88"/>
    <mergeCell ref="A93:F93"/>
    <mergeCell ref="G81:H81"/>
    <mergeCell ref="A82:C82"/>
    <mergeCell ref="E82:F82"/>
    <mergeCell ref="A83:C83"/>
    <mergeCell ref="E83:F83"/>
    <mergeCell ref="A79:C79"/>
    <mergeCell ref="E79:F79"/>
    <mergeCell ref="A80:C80"/>
    <mergeCell ref="E80:F80"/>
    <mergeCell ref="A81:D81"/>
    <mergeCell ref="E81:F81"/>
    <mergeCell ref="A76:C76"/>
    <mergeCell ref="E76:F76"/>
    <mergeCell ref="A77:C77"/>
    <mergeCell ref="E77:F77"/>
    <mergeCell ref="A78:C78"/>
    <mergeCell ref="E78:F78"/>
    <mergeCell ref="A72:F72"/>
    <mergeCell ref="A73:H73"/>
    <mergeCell ref="E74:F74"/>
    <mergeCell ref="A75:C75"/>
    <mergeCell ref="E75:F75"/>
    <mergeCell ref="A67:F67"/>
    <mergeCell ref="A68:F68"/>
    <mergeCell ref="A69:F69"/>
    <mergeCell ref="A70:F70"/>
    <mergeCell ref="A71:F71"/>
    <mergeCell ref="A63:H63"/>
    <mergeCell ref="A64:F64"/>
    <mergeCell ref="A66:F66"/>
    <mergeCell ref="A56:H56"/>
    <mergeCell ref="A57:H57"/>
    <mergeCell ref="A58:B58"/>
    <mergeCell ref="D58:H58"/>
    <mergeCell ref="A60:H60"/>
    <mergeCell ref="A65:F65"/>
    <mergeCell ref="G53:H53"/>
    <mergeCell ref="A54:C54"/>
    <mergeCell ref="E54:F54"/>
    <mergeCell ref="A55:C55"/>
    <mergeCell ref="E55:F55"/>
    <mergeCell ref="A51:C51"/>
    <mergeCell ref="E51:F51"/>
    <mergeCell ref="A52:C52"/>
    <mergeCell ref="E52:F52"/>
    <mergeCell ref="A53:D53"/>
    <mergeCell ref="E53:F53"/>
    <mergeCell ref="A48:C48"/>
    <mergeCell ref="E48:F48"/>
    <mergeCell ref="A49:C49"/>
    <mergeCell ref="E49:F49"/>
    <mergeCell ref="A50:C50"/>
    <mergeCell ref="E50:F50"/>
    <mergeCell ref="A43:F43"/>
    <mergeCell ref="A44:F44"/>
    <mergeCell ref="A45:H45"/>
    <mergeCell ref="E46:F46"/>
    <mergeCell ref="A47:C47"/>
    <mergeCell ref="E47:F47"/>
    <mergeCell ref="A38:F38"/>
    <mergeCell ref="A39:F39"/>
    <mergeCell ref="A40:F40"/>
    <mergeCell ref="A41:F41"/>
    <mergeCell ref="A42:F42"/>
    <mergeCell ref="A32:H32"/>
    <mergeCell ref="A35:H35"/>
    <mergeCell ref="A36:F36"/>
    <mergeCell ref="A20:C20"/>
    <mergeCell ref="E24:F24"/>
    <mergeCell ref="A24:C24"/>
    <mergeCell ref="A30:B30"/>
    <mergeCell ref="D30:H30"/>
    <mergeCell ref="A28:H28"/>
    <mergeCell ref="A29:H29"/>
    <mergeCell ref="G25:H25"/>
    <mergeCell ref="A37:F37"/>
    <mergeCell ref="E20:F20"/>
    <mergeCell ref="A21:C21"/>
    <mergeCell ref="E21:F21"/>
    <mergeCell ref="A22:C22"/>
    <mergeCell ref="E22:F22"/>
    <mergeCell ref="A23:C23"/>
    <mergeCell ref="E23:F23"/>
    <mergeCell ref="A27:C27"/>
    <mergeCell ref="E27:F27"/>
    <mergeCell ref="A25:D25"/>
    <mergeCell ref="E25:F25"/>
    <mergeCell ref="A26:C26"/>
    <mergeCell ref="E26:F26"/>
    <mergeCell ref="A2:H2"/>
    <mergeCell ref="A5:H5"/>
    <mergeCell ref="A6:H6"/>
    <mergeCell ref="D7:H7"/>
    <mergeCell ref="A8:F8"/>
    <mergeCell ref="A9:F9"/>
    <mergeCell ref="A10:F10"/>
    <mergeCell ref="I11:M11"/>
    <mergeCell ref="A17:H17"/>
    <mergeCell ref="E18:F18"/>
    <mergeCell ref="A19:C19"/>
    <mergeCell ref="E19:F19"/>
    <mergeCell ref="A14:F14"/>
    <mergeCell ref="A12:F12"/>
    <mergeCell ref="A13:F13"/>
    <mergeCell ref="A16:F16"/>
    <mergeCell ref="A15:F15"/>
    <mergeCell ref="A11:F11"/>
  </mergeCells>
  <dataValidations count="3">
    <dataValidation type="list" showInputMessage="1" showErrorMessage="1" promptTitle="Choose Area" sqref="A4 A90 A34 A62 A118 A146 A174 A202 A230 A258" xr:uid="{E96C646C-2F41-41FA-A481-1B5533D65956}">
      <formula1>CatchNo</formula1>
    </dataValidation>
    <dataValidation type="list" showInputMessage="1" showErrorMessage="1" promptTitle="Yes or No?" sqref="E137 G17 E25 G64:G67 G101 E109 G8:G11 G45 E53 G36:G39 G73 E81 G92:G95 G129 G120:G123 E165 G157 G148:G151 E193 G185 G176:G179 E221 G213 G204:G207 E249 G241 G232:G235 E277 G269 G260:G263" xr:uid="{A376AC50-0422-42F2-A1DC-B3541A0443EA}">
      <formula1>YesNo</formula1>
    </dataValidation>
    <dataValidation type="decimal" operator="greaterThan" allowBlank="1" showInputMessage="1" showErrorMessage="1" sqref="G100 E111:F111 G128 E131:F134 G96:G98 E83:F83 E47:F50 G72 E75:F78 E27:F27 G40:G42 G44 E55:F55 E139:F139 G16 E19:F22 G68:G70 E103:F106 G124:G126 G12:G14 E159:F162 G156 G152:G154 E167:F167 G184 E187:F190 E195:F195 G180:G182 G212 E215:F218 E223:F223 G208:G210 G240 E243:F246 E251:F251 G236:G238 G268 E271:F274 E279:F279 G264:G266" xr:uid="{7501E130-F831-4F5D-B5CB-929B41A27F79}">
      <formula1>0</formula1>
    </dataValidation>
  </dataValidations>
  <pageMargins left="0.5" right="0.5" top="0.75" bottom="0.5" header="0.3" footer="0.3"/>
  <pageSetup paperSize="278" orientation="portrait" r:id="rId1"/>
  <headerFooter>
    <oddHeader>&amp;C&amp;"Arial,Regular"&amp;18Sheet Flow to Riparian Buffer (RR-2)</oddHeader>
  </headerFooter>
  <rowBreaks count="9" manualBreakCount="9">
    <brk id="30" max="16383" man="1"/>
    <brk id="58" max="16383" man="1"/>
    <brk id="86" max="16383" man="1"/>
    <brk id="114" max="16383" man="1"/>
    <brk id="142" max="16383" man="1"/>
    <brk id="170" max="16383" man="1"/>
    <brk id="198" max="16383" man="1"/>
    <brk id="226" max="16383" man="1"/>
    <brk id="25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980BC-E7CA-4490-8B60-4851E8C2DD46}">
  <dimension ref="A1:P280"/>
  <sheetViews>
    <sheetView view="pageLayout" zoomScaleNormal="100" workbookViewId="0">
      <selection activeCell="L8" sqref="L8"/>
    </sheetView>
  </sheetViews>
  <sheetFormatPr defaultColWidth="9.1796875" defaultRowHeight="12.5" x14ac:dyDescent="0.35"/>
  <cols>
    <col min="1" max="1" width="12.7265625" style="12" customWidth="1"/>
    <col min="2" max="2" width="12.26953125" style="12" customWidth="1"/>
    <col min="3" max="3" width="10.54296875" style="12" bestFit="1" customWidth="1"/>
    <col min="4" max="5" width="10.7265625" style="12" customWidth="1"/>
    <col min="6" max="6" width="7.54296875" style="12" customWidth="1"/>
    <col min="7" max="7" width="12.54296875" style="12" customWidth="1"/>
    <col min="8" max="8" width="15" style="12" customWidth="1"/>
    <col min="9" max="16384" width="9.1796875" style="12"/>
  </cols>
  <sheetData>
    <row r="1" spans="1:16" ht="15" customHeight="1" x14ac:dyDescent="0.35">
      <c r="A1" s="16" t="s">
        <v>56</v>
      </c>
      <c r="B1" s="225" t="str">
        <f>IF('STEP 2-WQv Calculation'!$B$4="","",'STEP 2-WQv Calculation'!$B$4)</f>
        <v/>
      </c>
    </row>
    <row r="2" spans="1:16" ht="13" x14ac:dyDescent="0.35">
      <c r="A2" s="309" t="s">
        <v>243</v>
      </c>
      <c r="B2" s="309"/>
      <c r="C2" s="309"/>
      <c r="D2" s="309"/>
      <c r="E2" s="309"/>
      <c r="F2" s="309"/>
      <c r="G2" s="309"/>
      <c r="H2" s="309"/>
      <c r="I2" s="255" t="s">
        <v>219</v>
      </c>
      <c r="J2" s="256"/>
      <c r="K2" s="49">
        <f>SUM(B4,B32,B60,B88,B116,B144,B172,B200,B228,B256)</f>
        <v>0</v>
      </c>
      <c r="L2" s="12" t="s">
        <v>223</v>
      </c>
    </row>
    <row r="3" spans="1:16" ht="46.75" customHeight="1" x14ac:dyDescent="0.35">
      <c r="A3" s="204" t="s">
        <v>60</v>
      </c>
      <c r="B3" s="205" t="s">
        <v>61</v>
      </c>
      <c r="C3" s="205" t="s">
        <v>62</v>
      </c>
      <c r="D3" s="205" t="s">
        <v>63</v>
      </c>
      <c r="E3" s="205" t="s">
        <v>64</v>
      </c>
      <c r="F3" s="205" t="s">
        <v>65</v>
      </c>
      <c r="G3" s="205" t="s">
        <v>244</v>
      </c>
      <c r="H3" s="206" t="s">
        <v>13</v>
      </c>
      <c r="I3" s="255" t="s">
        <v>245</v>
      </c>
      <c r="J3" s="256"/>
      <c r="K3" s="21">
        <f>SUM(C4,C32,C60,C88,C116,C144,C172,C200,C228,C256)</f>
        <v>0</v>
      </c>
      <c r="L3" s="12" t="s">
        <v>223</v>
      </c>
    </row>
    <row r="4" spans="1:16" ht="30.75" customHeight="1" x14ac:dyDescent="0.35">
      <c r="A4" s="17"/>
      <c r="B4" s="18" t="str">
        <f>IF($A4="","",(LOOKUP($A4,'STEP 2-WQv Calculation'!$A$8:$A$37,'STEP 2-WQv Calculation'!$B$8:$B$37)))</f>
        <v/>
      </c>
      <c r="C4" s="18" t="str">
        <f>IF($A4="","",(LOOKUP($A4,'STEP 2-WQv Calculation'!$A$8:$A$37,'STEP 2-WQv Calculation'!$C$8:$C$37)))</f>
        <v/>
      </c>
      <c r="D4" s="53" t="str">
        <f>IF($A4="","",(LOOKUP($A4,'STEP 2-WQv Calculation'!$A$8:$A$37,'STEP 2-WQv Calculation'!$D$8:$D$37)))</f>
        <v/>
      </c>
      <c r="E4" s="18" t="str">
        <f>IF($A4="","",(LOOKUP($A4,'STEP 2-WQv Calculation'!$A$8:$A$37,'STEP 2-WQv Calculation'!$E$8:$E$37)))</f>
        <v/>
      </c>
      <c r="F4" s="42" t="str">
        <f>IF($A4="","",(LOOKUP($A4,'STEP 2-WQv Calculation'!$A$8:$A$37,'STEP 2-WQv Calculation'!$F$8:$F$37)))</f>
        <v/>
      </c>
      <c r="G4" s="18">
        <f>'STEP 2-WQv Calculation'!B5</f>
        <v>0</v>
      </c>
      <c r="H4" s="29" t="str">
        <f>IF($A4="","",(LOOKUP($A4,'STEP 2-WQv Calculation'!$A$8:$A$37,'STEP 2-WQv Calculation'!$G$8:$G$37)))</f>
        <v/>
      </c>
      <c r="I4" s="255" t="s">
        <v>227</v>
      </c>
      <c r="J4" s="256"/>
      <c r="K4" s="28">
        <f>SUM(C28,C56,C84,C112,C140,C168,C196,C224,C252,C280)</f>
        <v>0</v>
      </c>
      <c r="L4" s="12" t="s">
        <v>2</v>
      </c>
    </row>
    <row r="5" spans="1:16" ht="13" x14ac:dyDescent="0.35">
      <c r="A5" s="241" t="s">
        <v>226</v>
      </c>
      <c r="B5" s="241"/>
      <c r="C5" s="241"/>
      <c r="D5" s="241"/>
      <c r="E5" s="241"/>
      <c r="F5" s="241"/>
      <c r="G5" s="241"/>
      <c r="H5" s="241"/>
    </row>
    <row r="6" spans="1:16" ht="30.25" customHeight="1" x14ac:dyDescent="0.35">
      <c r="A6" s="245" t="s">
        <v>246</v>
      </c>
      <c r="B6" s="245"/>
      <c r="C6" s="245"/>
      <c r="D6" s="245"/>
      <c r="E6" s="245"/>
      <c r="F6" s="245"/>
      <c r="G6" s="218"/>
      <c r="H6" s="219" t="str">
        <f>IF(G6="NO","Does not meet design criteria","")</f>
        <v/>
      </c>
    </row>
    <row r="7" spans="1:16" ht="36.75" customHeight="1" x14ac:dyDescent="0.35">
      <c r="A7" s="245" t="s">
        <v>247</v>
      </c>
      <c r="B7" s="245"/>
      <c r="C7" s="245"/>
      <c r="D7" s="245"/>
      <c r="E7" s="245"/>
      <c r="F7" s="245"/>
      <c r="G7" s="218"/>
      <c r="H7" s="224" t="str">
        <f>IF(G7="","This practice cannot be used for hotspot treatment",IF(G7="Yes","Does not meet design criteria",""))</f>
        <v>This practice cannot be used for hotspot treatment</v>
      </c>
      <c r="I7" s="132"/>
      <c r="J7" s="132"/>
      <c r="K7" s="132"/>
    </row>
    <row r="8" spans="1:16" ht="30.25" customHeight="1" x14ac:dyDescent="0.35">
      <c r="A8" s="245" t="s">
        <v>249</v>
      </c>
      <c r="B8" s="245"/>
      <c r="C8" s="245"/>
      <c r="D8" s="245"/>
      <c r="E8" s="245"/>
      <c r="F8" s="245"/>
      <c r="G8" s="218"/>
      <c r="H8" s="219" t="str">
        <f>IF(G8="NO","Does not meet design criteria","")</f>
        <v/>
      </c>
    </row>
    <row r="9" spans="1:16" ht="30.25" customHeight="1" x14ac:dyDescent="0.35">
      <c r="A9" s="245" t="s">
        <v>250</v>
      </c>
      <c r="B9" s="245"/>
      <c r="C9" s="245"/>
      <c r="D9" s="245"/>
      <c r="E9" s="245"/>
      <c r="F9" s="245"/>
      <c r="G9" s="218"/>
      <c r="H9" s="219" t="str">
        <f>IF(G9="NO","Does not meet design criteria","")</f>
        <v/>
      </c>
      <c r="I9" s="234"/>
      <c r="J9" s="234"/>
      <c r="K9" s="234"/>
      <c r="L9" s="234"/>
      <c r="M9" s="234"/>
    </row>
    <row r="10" spans="1:16" ht="30" customHeight="1" x14ac:dyDescent="0.35">
      <c r="A10" s="242" t="s">
        <v>251</v>
      </c>
      <c r="B10" s="243"/>
      <c r="C10" s="243"/>
      <c r="D10" s="243"/>
      <c r="E10" s="243"/>
      <c r="F10" s="244"/>
      <c r="G10" s="210"/>
      <c r="H10" s="219" t="str">
        <f>IF(G10&gt;150,"Does not meet design criteria","")</f>
        <v/>
      </c>
      <c r="I10" s="199"/>
      <c r="J10" s="199"/>
      <c r="K10" s="199"/>
      <c r="L10" s="199"/>
      <c r="M10" s="199"/>
    </row>
    <row r="11" spans="1:16" ht="30" customHeight="1" x14ac:dyDescent="0.35">
      <c r="A11" s="242" t="s">
        <v>252</v>
      </c>
      <c r="B11" s="243"/>
      <c r="C11" s="243"/>
      <c r="D11" s="243"/>
      <c r="E11" s="243"/>
      <c r="F11" s="244"/>
      <c r="G11" s="210"/>
      <c r="H11" s="219" t="str">
        <f>IF(G11&gt;75,"Does not meet design criteria","")</f>
        <v/>
      </c>
      <c r="I11" s="199"/>
      <c r="J11" s="199"/>
      <c r="K11" s="199"/>
      <c r="L11" s="199"/>
      <c r="M11" s="199"/>
    </row>
    <row r="12" spans="1:16" ht="30" customHeight="1" x14ac:dyDescent="0.35">
      <c r="A12" s="242" t="s">
        <v>253</v>
      </c>
      <c r="B12" s="243"/>
      <c r="C12" s="243"/>
      <c r="D12" s="243"/>
      <c r="E12" s="243"/>
      <c r="F12" s="244"/>
      <c r="G12" s="210"/>
      <c r="H12" s="219" t="str">
        <f>IF(G12&gt;10,"Does not meet design criteria","")</f>
        <v/>
      </c>
      <c r="I12" s="199"/>
      <c r="J12" s="199"/>
      <c r="K12" s="199"/>
      <c r="L12" s="199"/>
      <c r="M12" s="199"/>
    </row>
    <row r="13" spans="1:16" ht="30" customHeight="1" x14ac:dyDescent="0.35">
      <c r="A13" s="242" t="s">
        <v>254</v>
      </c>
      <c r="B13" s="243"/>
      <c r="C13" s="243"/>
      <c r="D13" s="243"/>
      <c r="E13" s="243"/>
      <c r="F13" s="244"/>
      <c r="G13" s="212">
        <f>IF(G12&lt;=5,35,IF(G12&lt;=10,60,IF(G12&gt;10,"")))</f>
        <v>35</v>
      </c>
      <c r="H13" s="219" t="str">
        <f>IF(G12&gt;10,"Does not meet design criteria","")</f>
        <v/>
      </c>
      <c r="I13" s="199"/>
      <c r="J13" s="199"/>
      <c r="K13" s="199"/>
      <c r="L13" s="199"/>
      <c r="M13" s="199"/>
    </row>
    <row r="14" spans="1:16" ht="30" customHeight="1" x14ac:dyDescent="0.35">
      <c r="A14" s="242" t="s">
        <v>255</v>
      </c>
      <c r="B14" s="243"/>
      <c r="C14" s="243"/>
      <c r="D14" s="243"/>
      <c r="E14" s="243"/>
      <c r="F14" s="244"/>
      <c r="G14" s="210"/>
      <c r="H14" s="219" t="str">
        <f>IF(G14&gt;2,"Does not meet design criteria","")</f>
        <v/>
      </c>
      <c r="I14" s="199"/>
      <c r="J14" s="199"/>
      <c r="K14" s="199"/>
      <c r="L14" s="199"/>
      <c r="M14" s="199"/>
    </row>
    <row r="15" spans="1:16" s="4" customFormat="1" ht="15" customHeight="1" x14ac:dyDescent="0.3">
      <c r="A15" s="246" t="s">
        <v>232</v>
      </c>
      <c r="B15" s="247"/>
      <c r="C15" s="247"/>
      <c r="D15" s="247"/>
      <c r="E15" s="247"/>
      <c r="F15" s="247"/>
      <c r="G15" s="247"/>
      <c r="H15" s="247"/>
    </row>
    <row r="16" spans="1:16" s="34" customFormat="1" ht="15" customHeight="1" x14ac:dyDescent="0.3">
      <c r="A16" s="35"/>
      <c r="B16" s="36"/>
      <c r="C16" s="36"/>
      <c r="D16" s="37"/>
      <c r="E16" s="302" t="s">
        <v>256</v>
      </c>
      <c r="F16" s="302"/>
      <c r="G16" s="38" t="s">
        <v>257</v>
      </c>
      <c r="H16" s="38" t="s">
        <v>258</v>
      </c>
      <c r="I16" s="4"/>
      <c r="J16" s="4"/>
      <c r="K16" s="4"/>
      <c r="L16" s="4"/>
      <c r="M16" s="4"/>
      <c r="N16" s="4"/>
      <c r="O16" s="4"/>
      <c r="P16" s="4"/>
    </row>
    <row r="17" spans="1:16" s="4" customFormat="1" ht="28.9" customHeight="1" x14ac:dyDescent="0.25">
      <c r="A17" s="289" t="s">
        <v>259</v>
      </c>
      <c r="B17" s="289"/>
      <c r="C17" s="289"/>
      <c r="D17" s="133" t="s">
        <v>260</v>
      </c>
      <c r="E17" s="303"/>
      <c r="F17" s="304"/>
      <c r="G17" s="193" t="s">
        <v>261</v>
      </c>
      <c r="H17" s="219" t="str">
        <f>IF(E17="","",IF(E17&lt;6,"Does not meet design criteria",""))</f>
        <v/>
      </c>
    </row>
    <row r="18" spans="1:16" s="4" customFormat="1" ht="15" customHeight="1" x14ac:dyDescent="0.25">
      <c r="A18" s="289" t="s">
        <v>262</v>
      </c>
      <c r="B18" s="289"/>
      <c r="C18" s="289"/>
      <c r="D18" s="133" t="s">
        <v>263</v>
      </c>
      <c r="E18" s="314"/>
      <c r="F18" s="315"/>
      <c r="G18" s="193" t="s">
        <v>264</v>
      </c>
      <c r="H18" s="219"/>
    </row>
    <row r="19" spans="1:16" s="4" customFormat="1" ht="28.9" customHeight="1" x14ac:dyDescent="0.25">
      <c r="A19" s="266" t="s">
        <v>265</v>
      </c>
      <c r="B19" s="267"/>
      <c r="C19" s="268"/>
      <c r="D19" s="133" t="s">
        <v>214</v>
      </c>
      <c r="E19" s="314"/>
      <c r="F19" s="315"/>
      <c r="G19" s="193" t="s">
        <v>266</v>
      </c>
      <c r="H19" s="219" t="str">
        <f>IF(E19&gt;0.08,"Does not meet design criteria","")</f>
        <v/>
      </c>
    </row>
    <row r="20" spans="1:16" s="4" customFormat="1" ht="15" customHeight="1" x14ac:dyDescent="0.25">
      <c r="A20" s="289" t="s">
        <v>267</v>
      </c>
      <c r="B20" s="289"/>
      <c r="C20" s="289"/>
      <c r="D20" s="133" t="s">
        <v>268</v>
      </c>
      <c r="E20" s="314"/>
      <c r="F20" s="315"/>
      <c r="G20" s="193"/>
      <c r="H20" s="219"/>
    </row>
    <row r="21" spans="1:16" s="4" customFormat="1" ht="15" customHeight="1" x14ac:dyDescent="0.25">
      <c r="A21" s="266" t="s">
        <v>269</v>
      </c>
      <c r="B21" s="267"/>
      <c r="C21" s="268"/>
      <c r="D21" s="133" t="s">
        <v>270</v>
      </c>
      <c r="E21" s="308" t="e">
        <f>ROUND(((E17^1.25)*(E18^0.625)*(E19^0.5))/(0.338*E20),0)</f>
        <v>#DIV/0!</v>
      </c>
      <c r="F21" s="308"/>
      <c r="G21" s="193" t="s">
        <v>271</v>
      </c>
      <c r="H21" s="219"/>
    </row>
    <row r="22" spans="1:16" s="4" customFormat="1" ht="15" customHeight="1" x14ac:dyDescent="0.25">
      <c r="A22" s="266" t="s">
        <v>272</v>
      </c>
      <c r="B22" s="267"/>
      <c r="C22" s="268"/>
      <c r="D22" s="133" t="s">
        <v>270</v>
      </c>
      <c r="E22" s="308" t="e">
        <f>ROUND(IF(E21&gt;G13,E21,IF(E21&lt;G13,G13)),0)</f>
        <v>#DIV/0!</v>
      </c>
      <c r="F22" s="308"/>
      <c r="G22" s="193" t="s">
        <v>271</v>
      </c>
      <c r="H22" s="219"/>
    </row>
    <row r="23" spans="1:16" s="4" customFormat="1" ht="15" customHeight="1" x14ac:dyDescent="0.25">
      <c r="A23" s="266" t="s">
        <v>273</v>
      </c>
      <c r="B23" s="267"/>
      <c r="C23" s="267"/>
      <c r="D23" s="268"/>
      <c r="E23" s="306"/>
      <c r="F23" s="307"/>
      <c r="G23" s="266"/>
      <c r="H23" s="268"/>
    </row>
    <row r="24" spans="1:16" s="4" customFormat="1" ht="15" customHeight="1" x14ac:dyDescent="0.25">
      <c r="A24" s="266" t="s">
        <v>274</v>
      </c>
      <c r="B24" s="267"/>
      <c r="C24" s="268"/>
      <c r="D24" s="133" t="s">
        <v>270</v>
      </c>
      <c r="E24" s="308" t="e">
        <f>ROUND(IF(E23="YES",E22*1.15,E22),0)</f>
        <v>#DIV/0!</v>
      </c>
      <c r="F24" s="308"/>
      <c r="G24" s="193" t="s">
        <v>271</v>
      </c>
      <c r="H24" s="219"/>
    </row>
    <row r="25" spans="1:16" s="4" customFormat="1" ht="27" customHeight="1" x14ac:dyDescent="0.25">
      <c r="A25" s="266" t="s">
        <v>275</v>
      </c>
      <c r="B25" s="267"/>
      <c r="C25" s="268"/>
      <c r="D25" s="133" t="s">
        <v>270</v>
      </c>
      <c r="E25" s="305"/>
      <c r="F25" s="305"/>
      <c r="G25" s="193" t="s">
        <v>271</v>
      </c>
      <c r="H25" s="219" t="str">
        <f>IF(E25="","",IF(E21&gt;E25,"Does not meet design criteria",""))</f>
        <v/>
      </c>
    </row>
    <row r="26" spans="1:16" s="4" customFormat="1" ht="13.15" customHeight="1" x14ac:dyDescent="0.25">
      <c r="A26" s="313"/>
      <c r="B26" s="313"/>
      <c r="C26" s="313"/>
      <c r="D26" s="313"/>
      <c r="E26" s="313"/>
      <c r="F26" s="313"/>
      <c r="G26" s="313"/>
      <c r="H26" s="313"/>
    </row>
    <row r="27" spans="1:16" s="4" customFormat="1" ht="15" customHeight="1" x14ac:dyDescent="0.25">
      <c r="A27" s="236" t="s">
        <v>276</v>
      </c>
      <c r="B27" s="237"/>
      <c r="C27" s="237"/>
      <c r="D27" s="237"/>
      <c r="E27" s="237"/>
      <c r="F27" s="237"/>
      <c r="G27" s="237"/>
      <c r="H27" s="238"/>
    </row>
    <row r="28" spans="1:16" s="34" customFormat="1" ht="13" x14ac:dyDescent="0.3">
      <c r="A28" s="239" t="s">
        <v>241</v>
      </c>
      <c r="B28" s="239"/>
      <c r="C28" s="9" t="str">
        <f>IF(F4="","",IF(G7="Yes",0,IF(G6="NO",0,IF(G8="NO",0,IF(G9="NO",0,IF(G10&gt;150,0,IF(G11&gt;75,0,IF(G12&gt;10,0,IF(G14&gt;2,0,IF(E25&lt;E24,0,F4))))))))))</f>
        <v/>
      </c>
      <c r="D28" s="310" t="s">
        <v>2</v>
      </c>
      <c r="E28" s="311"/>
      <c r="F28" s="311"/>
      <c r="G28" s="311"/>
      <c r="H28" s="312"/>
      <c r="I28" s="4"/>
      <c r="J28" s="4"/>
      <c r="K28" s="4"/>
      <c r="L28" s="4"/>
      <c r="M28" s="4"/>
      <c r="N28" s="4"/>
      <c r="O28" s="4"/>
      <c r="P28" s="4"/>
    </row>
    <row r="29" spans="1:16" ht="13" x14ac:dyDescent="0.35">
      <c r="A29" s="16" t="s">
        <v>56</v>
      </c>
      <c r="B29" s="225" t="str">
        <f>IF('STEP 2-WQv Calculation'!$B$4="","",'STEP 2-WQv Calculation'!$B$4)</f>
        <v/>
      </c>
    </row>
    <row r="30" spans="1:16" ht="13.15" customHeight="1" x14ac:dyDescent="0.35">
      <c r="A30" s="309" t="s">
        <v>243</v>
      </c>
      <c r="B30" s="309"/>
      <c r="C30" s="309"/>
      <c r="D30" s="309"/>
      <c r="E30" s="309"/>
      <c r="F30" s="309"/>
      <c r="G30" s="309"/>
      <c r="H30" s="309"/>
    </row>
    <row r="31" spans="1:16" ht="38.5" x14ac:dyDescent="0.35">
      <c r="A31" s="204" t="s">
        <v>60</v>
      </c>
      <c r="B31" s="205" t="s">
        <v>61</v>
      </c>
      <c r="C31" s="205" t="s">
        <v>62</v>
      </c>
      <c r="D31" s="205" t="s">
        <v>63</v>
      </c>
      <c r="E31" s="205" t="s">
        <v>64</v>
      </c>
      <c r="F31" s="205" t="s">
        <v>65</v>
      </c>
      <c r="G31" s="205" t="s">
        <v>244</v>
      </c>
      <c r="H31" s="206" t="s">
        <v>13</v>
      </c>
    </row>
    <row r="32" spans="1:16" x14ac:dyDescent="0.35">
      <c r="A32" s="17"/>
      <c r="B32" s="18" t="str">
        <f>IF($A32="","",(LOOKUP($A32,'STEP 2-WQv Calculation'!$A$8:$A$37,'STEP 2-WQv Calculation'!$B$8:$B$37)))</f>
        <v/>
      </c>
      <c r="C32" s="18" t="str">
        <f>IF($A32="","",(LOOKUP($A32,'STEP 2-WQv Calculation'!$A$8:$A$37,'STEP 2-WQv Calculation'!$C$8:$C$37)))</f>
        <v/>
      </c>
      <c r="D32" s="53" t="str">
        <f>IF($A32="","",(LOOKUP($A32,'STEP 2-WQv Calculation'!$A$8:$A$37,'STEP 2-WQv Calculation'!$D$8:$D$37)))</f>
        <v/>
      </c>
      <c r="E32" s="18" t="str">
        <f>IF($A32="","",(LOOKUP($A32,'STEP 2-WQv Calculation'!$A$8:$A$37,'STEP 2-WQv Calculation'!$E$8:$E$37)))</f>
        <v/>
      </c>
      <c r="F32" s="42" t="str">
        <f>IF($A32="","",(LOOKUP($A32,'STEP 2-WQv Calculation'!$A$8:$A$37,'STEP 2-WQv Calculation'!$F$8:$F$37)))</f>
        <v/>
      </c>
      <c r="G32" s="18">
        <f>'STEP 2-WQv Calculation'!B5</f>
        <v>0</v>
      </c>
      <c r="H32" s="29" t="str">
        <f>IF($A32="","",(LOOKUP($A32,'STEP 2-WQv Calculation'!$A$8:$A$37,'STEP 2-WQv Calculation'!$G$8:$G$37)))</f>
        <v/>
      </c>
    </row>
    <row r="33" spans="1:11" ht="13.15" customHeight="1" x14ac:dyDescent="0.35">
      <c r="A33" s="241" t="s">
        <v>226</v>
      </c>
      <c r="B33" s="241"/>
      <c r="C33" s="241"/>
      <c r="D33" s="241"/>
      <c r="E33" s="241"/>
      <c r="F33" s="241"/>
      <c r="G33" s="241"/>
      <c r="H33" s="241"/>
    </row>
    <row r="34" spans="1:11" ht="26.5" customHeight="1" x14ac:dyDescent="0.35">
      <c r="A34" s="245" t="s">
        <v>246</v>
      </c>
      <c r="B34" s="245"/>
      <c r="C34" s="245"/>
      <c r="D34" s="245"/>
      <c r="E34" s="245"/>
      <c r="F34" s="245"/>
      <c r="G34" s="218"/>
      <c r="H34" s="219" t="str">
        <f>IF(G34="NO","Does not meet design criteria","")</f>
        <v/>
      </c>
    </row>
    <row r="35" spans="1:11" ht="36.75" customHeight="1" x14ac:dyDescent="0.35">
      <c r="A35" s="245" t="s">
        <v>247</v>
      </c>
      <c r="B35" s="245"/>
      <c r="C35" s="245"/>
      <c r="D35" s="245"/>
      <c r="E35" s="245"/>
      <c r="F35" s="245"/>
      <c r="G35" s="218"/>
      <c r="H35" s="224" t="str">
        <f>IF(G35="","This practice cannot be used for hotspot treatment",IF(G35="Yes","Does not meet design criteria",""))</f>
        <v>This practice cannot be used for hotspot treatment</v>
      </c>
      <c r="I35" s="132"/>
      <c r="J35" s="132"/>
      <c r="K35" s="132"/>
    </row>
    <row r="36" spans="1:11" ht="30" customHeight="1" x14ac:dyDescent="0.35">
      <c r="A36" s="245" t="s">
        <v>249</v>
      </c>
      <c r="B36" s="245"/>
      <c r="C36" s="245"/>
      <c r="D36" s="245"/>
      <c r="E36" s="245"/>
      <c r="F36" s="245"/>
      <c r="G36" s="218"/>
      <c r="H36" s="219" t="str">
        <f>IF(G36="NO","Does not meet design criteria","")</f>
        <v/>
      </c>
    </row>
    <row r="37" spans="1:11" ht="30" customHeight="1" x14ac:dyDescent="0.35">
      <c r="A37" s="245" t="s">
        <v>250</v>
      </c>
      <c r="B37" s="245"/>
      <c r="C37" s="245"/>
      <c r="D37" s="245"/>
      <c r="E37" s="245"/>
      <c r="F37" s="245"/>
      <c r="G37" s="218"/>
      <c r="H37" s="219" t="str">
        <f>IF(G37="NO","Does not meet design criteria","")</f>
        <v/>
      </c>
    </row>
    <row r="38" spans="1:11" ht="30" customHeight="1" x14ac:dyDescent="0.35">
      <c r="A38" s="242" t="s">
        <v>251</v>
      </c>
      <c r="B38" s="243"/>
      <c r="C38" s="243"/>
      <c r="D38" s="243"/>
      <c r="E38" s="243"/>
      <c r="F38" s="244"/>
      <c r="G38" s="210"/>
      <c r="H38" s="219" t="str">
        <f>IF(G38&gt;150,"Does not meet design criteria","")</f>
        <v/>
      </c>
    </row>
    <row r="39" spans="1:11" ht="30" customHeight="1" x14ac:dyDescent="0.35">
      <c r="A39" s="242" t="s">
        <v>252</v>
      </c>
      <c r="B39" s="243"/>
      <c r="C39" s="243"/>
      <c r="D39" s="243"/>
      <c r="E39" s="243"/>
      <c r="F39" s="244"/>
      <c r="G39" s="210"/>
      <c r="H39" s="219" t="str">
        <f>IF(G39&gt;75,"Does not meet design criteria","")</f>
        <v/>
      </c>
    </row>
    <row r="40" spans="1:11" ht="30" customHeight="1" x14ac:dyDescent="0.35">
      <c r="A40" s="242" t="s">
        <v>253</v>
      </c>
      <c r="B40" s="243"/>
      <c r="C40" s="243"/>
      <c r="D40" s="243"/>
      <c r="E40" s="243"/>
      <c r="F40" s="244"/>
      <c r="G40" s="210"/>
      <c r="H40" s="219" t="str">
        <f>IF(G40&gt;10,"Does not meet design criteria","")</f>
        <v/>
      </c>
    </row>
    <row r="41" spans="1:11" ht="30" customHeight="1" x14ac:dyDescent="0.35">
      <c r="A41" s="242" t="s">
        <v>254</v>
      </c>
      <c r="B41" s="243"/>
      <c r="C41" s="243"/>
      <c r="D41" s="243"/>
      <c r="E41" s="243"/>
      <c r="F41" s="244"/>
      <c r="G41" s="212">
        <f>IF(G40&lt;=5,35,IF(G40&lt;=10,60,IF(G40&gt;10,"")))</f>
        <v>35</v>
      </c>
      <c r="H41" s="219" t="str">
        <f>IF(G40&gt;10,"Does not meet design criteria","")</f>
        <v/>
      </c>
    </row>
    <row r="42" spans="1:11" ht="30" customHeight="1" x14ac:dyDescent="0.35">
      <c r="A42" s="242" t="s">
        <v>255</v>
      </c>
      <c r="B42" s="243"/>
      <c r="C42" s="243"/>
      <c r="D42" s="243"/>
      <c r="E42" s="243"/>
      <c r="F42" s="244"/>
      <c r="G42" s="210"/>
      <c r="H42" s="219" t="str">
        <f>IF(G42&gt;2,"Does not meet design criteria","")</f>
        <v/>
      </c>
    </row>
    <row r="43" spans="1:11" ht="13.15" customHeight="1" x14ac:dyDescent="0.3">
      <c r="A43" s="246" t="s">
        <v>232</v>
      </c>
      <c r="B43" s="247"/>
      <c r="C43" s="247"/>
      <c r="D43" s="247"/>
      <c r="E43" s="247"/>
      <c r="F43" s="247"/>
      <c r="G43" s="247"/>
      <c r="H43" s="247"/>
    </row>
    <row r="44" spans="1:11" ht="13" x14ac:dyDescent="0.35">
      <c r="A44" s="35"/>
      <c r="B44" s="36"/>
      <c r="C44" s="36"/>
      <c r="D44" s="37"/>
      <c r="E44" s="302" t="s">
        <v>256</v>
      </c>
      <c r="F44" s="302"/>
      <c r="G44" s="38" t="s">
        <v>257</v>
      </c>
      <c r="H44" s="38" t="s">
        <v>258</v>
      </c>
    </row>
    <row r="45" spans="1:11" ht="13.15" customHeight="1" x14ac:dyDescent="0.35">
      <c r="A45" s="289" t="s">
        <v>259</v>
      </c>
      <c r="B45" s="289"/>
      <c r="C45" s="289"/>
      <c r="D45" s="133" t="s">
        <v>260</v>
      </c>
      <c r="E45" s="303"/>
      <c r="F45" s="304"/>
      <c r="G45" s="193" t="s">
        <v>261</v>
      </c>
      <c r="H45" s="219" t="str">
        <f>IF(E45="","",IF(E45&lt;6,"Does not meet design criteria",""))</f>
        <v/>
      </c>
    </row>
    <row r="46" spans="1:11" ht="13.15" customHeight="1" x14ac:dyDescent="0.35">
      <c r="A46" s="289" t="s">
        <v>262</v>
      </c>
      <c r="B46" s="289"/>
      <c r="C46" s="289"/>
      <c r="D46" s="133" t="s">
        <v>263</v>
      </c>
      <c r="E46" s="306"/>
      <c r="F46" s="307"/>
      <c r="G46" s="193" t="s">
        <v>264</v>
      </c>
      <c r="H46" s="219"/>
    </row>
    <row r="47" spans="1:11" ht="13.15" customHeight="1" x14ac:dyDescent="0.35">
      <c r="A47" s="266" t="s">
        <v>265</v>
      </c>
      <c r="B47" s="267"/>
      <c r="C47" s="268"/>
      <c r="D47" s="133" t="s">
        <v>214</v>
      </c>
      <c r="E47" s="306"/>
      <c r="F47" s="307"/>
      <c r="G47" s="193" t="s">
        <v>266</v>
      </c>
      <c r="H47" s="219" t="str">
        <f>IF(E47&gt;0.08,"Does not meet design criteria","")</f>
        <v/>
      </c>
    </row>
    <row r="48" spans="1:11" ht="13.15" customHeight="1" x14ac:dyDescent="0.35">
      <c r="A48" s="289" t="s">
        <v>267</v>
      </c>
      <c r="B48" s="289"/>
      <c r="C48" s="289"/>
      <c r="D48" s="133" t="s">
        <v>268</v>
      </c>
      <c r="E48" s="306"/>
      <c r="F48" s="307"/>
      <c r="G48" s="193"/>
      <c r="H48" s="219"/>
    </row>
    <row r="49" spans="1:11" ht="13.15" customHeight="1" x14ac:dyDescent="0.35">
      <c r="A49" s="266" t="s">
        <v>269</v>
      </c>
      <c r="B49" s="267"/>
      <c r="C49" s="268"/>
      <c r="D49" s="133" t="s">
        <v>270</v>
      </c>
      <c r="E49" s="308" t="e">
        <f>ROUND(((E45^1.25)*(E46^0.625)*(E47^0.5))/(0.338*E48),0)</f>
        <v>#DIV/0!</v>
      </c>
      <c r="F49" s="308"/>
      <c r="G49" s="193" t="s">
        <v>271</v>
      </c>
      <c r="H49" s="219"/>
    </row>
    <row r="50" spans="1:11" ht="13.15" customHeight="1" x14ac:dyDescent="0.35">
      <c r="A50" s="266" t="s">
        <v>272</v>
      </c>
      <c r="B50" s="267"/>
      <c r="C50" s="268"/>
      <c r="D50" s="133" t="s">
        <v>270</v>
      </c>
      <c r="E50" s="308" t="e">
        <f>ROUND(IF(E49&gt;G41,E49,IF(E49&lt;G41,G41)),0)</f>
        <v>#DIV/0!</v>
      </c>
      <c r="F50" s="308"/>
      <c r="G50" s="193" t="s">
        <v>271</v>
      </c>
      <c r="H50" s="219"/>
    </row>
    <row r="51" spans="1:11" ht="13.15" customHeight="1" x14ac:dyDescent="0.35">
      <c r="A51" s="266" t="s">
        <v>273</v>
      </c>
      <c r="B51" s="267"/>
      <c r="C51" s="267"/>
      <c r="D51" s="268"/>
      <c r="E51" s="306"/>
      <c r="F51" s="307"/>
      <c r="G51" s="266"/>
      <c r="H51" s="268"/>
    </row>
    <row r="52" spans="1:11" ht="13.15" customHeight="1" x14ac:dyDescent="0.35">
      <c r="A52" s="266" t="s">
        <v>274</v>
      </c>
      <c r="B52" s="267"/>
      <c r="C52" s="268"/>
      <c r="D52" s="133" t="s">
        <v>270</v>
      </c>
      <c r="E52" s="308" t="e">
        <f>ROUND(IF(E51="YES",E50*1.15,E50),0)</f>
        <v>#DIV/0!</v>
      </c>
      <c r="F52" s="308"/>
      <c r="G52" s="193" t="s">
        <v>271</v>
      </c>
      <c r="H52" s="219"/>
    </row>
    <row r="53" spans="1:11" ht="13.15" customHeight="1" x14ac:dyDescent="0.35">
      <c r="A53" s="266" t="s">
        <v>275</v>
      </c>
      <c r="B53" s="267"/>
      <c r="C53" s="268"/>
      <c r="D53" s="133" t="s">
        <v>270</v>
      </c>
      <c r="E53" s="305"/>
      <c r="F53" s="305"/>
      <c r="G53" s="193" t="s">
        <v>271</v>
      </c>
      <c r="H53" s="219" t="str">
        <f>IF(E53="","",IF(E49&gt;E53,"Does not meet design criteria",""))</f>
        <v/>
      </c>
    </row>
    <row r="54" spans="1:11" x14ac:dyDescent="0.35">
      <c r="A54" s="313"/>
      <c r="B54" s="313"/>
      <c r="C54" s="313"/>
      <c r="D54" s="313"/>
      <c r="E54" s="313"/>
      <c r="F54" s="313"/>
      <c r="G54" s="313"/>
      <c r="H54" s="313"/>
    </row>
    <row r="55" spans="1:11" ht="13.15" customHeight="1" x14ac:dyDescent="0.35">
      <c r="A55" s="236" t="s">
        <v>276</v>
      </c>
      <c r="B55" s="237"/>
      <c r="C55" s="237"/>
      <c r="D55" s="237"/>
      <c r="E55" s="237"/>
      <c r="F55" s="237"/>
      <c r="G55" s="237"/>
      <c r="H55" s="238"/>
    </row>
    <row r="56" spans="1:11" ht="13.15" customHeight="1" x14ac:dyDescent="0.35">
      <c r="A56" s="239" t="s">
        <v>241</v>
      </c>
      <c r="B56" s="239"/>
      <c r="C56" s="9" t="str">
        <f>IF(F30="","",IF(G35="Yes",0,IF(G34="NO",0,IF(G36="NO",0,IF(G37="NO",0,IF(G38&gt;150,0,IF(G39&gt;75,0,IF(G40&gt;10,0,IF(G42&gt;2,0,IF(E53&lt;E52,0,F30))))))))))</f>
        <v/>
      </c>
      <c r="D56" s="310" t="s">
        <v>2</v>
      </c>
      <c r="E56" s="311"/>
      <c r="F56" s="311"/>
      <c r="G56" s="311"/>
      <c r="H56" s="312"/>
    </row>
    <row r="57" spans="1:11" ht="13" x14ac:dyDescent="0.35">
      <c r="A57" s="16" t="s">
        <v>56</v>
      </c>
      <c r="B57" s="225" t="str">
        <f>IF('STEP 2-WQv Calculation'!$B$4="","",'STEP 2-WQv Calculation'!$B$4)</f>
        <v/>
      </c>
    </row>
    <row r="58" spans="1:11" ht="13.15" customHeight="1" x14ac:dyDescent="0.35">
      <c r="A58" s="309" t="s">
        <v>243</v>
      </c>
      <c r="B58" s="309"/>
      <c r="C58" s="309"/>
      <c r="D58" s="309"/>
      <c r="E58" s="309"/>
      <c r="F58" s="309"/>
      <c r="G58" s="309"/>
      <c r="H58" s="309"/>
    </row>
    <row r="59" spans="1:11" ht="38.5" x14ac:dyDescent="0.35">
      <c r="A59" s="204" t="s">
        <v>60</v>
      </c>
      <c r="B59" s="205" t="s">
        <v>61</v>
      </c>
      <c r="C59" s="205" t="s">
        <v>62</v>
      </c>
      <c r="D59" s="205" t="s">
        <v>63</v>
      </c>
      <c r="E59" s="205" t="s">
        <v>64</v>
      </c>
      <c r="F59" s="205" t="s">
        <v>65</v>
      </c>
      <c r="G59" s="205" t="s">
        <v>244</v>
      </c>
      <c r="H59" s="206" t="s">
        <v>13</v>
      </c>
    </row>
    <row r="60" spans="1:11" x14ac:dyDescent="0.35">
      <c r="A60" s="17"/>
      <c r="B60" s="18" t="str">
        <f>IF($A60="","",(LOOKUP($A60,'STEP 2-WQv Calculation'!$A$8:$A$37,'STEP 2-WQv Calculation'!$B$8:$B$37)))</f>
        <v/>
      </c>
      <c r="C60" s="18" t="str">
        <f>IF($A60="","",(LOOKUP($A60,'STEP 2-WQv Calculation'!$A$8:$A$37,'STEP 2-WQv Calculation'!$C$8:$C$37)))</f>
        <v/>
      </c>
      <c r="D60" s="53" t="str">
        <f>IF($A60="","",(LOOKUP($A60,'STEP 2-WQv Calculation'!$A$8:$A$37,'STEP 2-WQv Calculation'!$D$8:$D$37)))</f>
        <v/>
      </c>
      <c r="E60" s="18" t="str">
        <f>IF($A60="","",(LOOKUP($A60,'STEP 2-WQv Calculation'!$A$8:$A$37,'STEP 2-WQv Calculation'!$E$8:$E$37)))</f>
        <v/>
      </c>
      <c r="F60" s="42" t="str">
        <f>IF($A60="","",(LOOKUP($A60,'STEP 2-WQv Calculation'!$A$8:$A$37,'STEP 2-WQv Calculation'!$F$8:$F$37)))</f>
        <v/>
      </c>
      <c r="G60" s="18">
        <f>'STEP 2-WQv Calculation'!B5</f>
        <v>0</v>
      </c>
      <c r="H60" s="29" t="str">
        <f>IF($A60="","",(LOOKUP($A60,'STEP 2-WQv Calculation'!$A$8:$A$37,'STEP 2-WQv Calculation'!$G$8:$G$37)))</f>
        <v/>
      </c>
    </row>
    <row r="61" spans="1:11" ht="13.15" customHeight="1" x14ac:dyDescent="0.35">
      <c r="A61" s="241" t="s">
        <v>226</v>
      </c>
      <c r="B61" s="241"/>
      <c r="C61" s="241"/>
      <c r="D61" s="241"/>
      <c r="E61" s="241"/>
      <c r="F61" s="241"/>
      <c r="G61" s="241"/>
      <c r="H61" s="241"/>
    </row>
    <row r="62" spans="1:11" ht="26.5" customHeight="1" x14ac:dyDescent="0.35">
      <c r="A62" s="245" t="s">
        <v>246</v>
      </c>
      <c r="B62" s="245"/>
      <c r="C62" s="245"/>
      <c r="D62" s="245"/>
      <c r="E62" s="245"/>
      <c r="F62" s="245"/>
      <c r="G62" s="218"/>
      <c r="H62" s="219" t="str">
        <f>IF(G62="NO","Does not meet design criteria","")</f>
        <v/>
      </c>
    </row>
    <row r="63" spans="1:11" ht="36.75" customHeight="1" x14ac:dyDescent="0.35">
      <c r="A63" s="245" t="s">
        <v>247</v>
      </c>
      <c r="B63" s="245"/>
      <c r="C63" s="245"/>
      <c r="D63" s="245"/>
      <c r="E63" s="245"/>
      <c r="F63" s="245"/>
      <c r="G63" s="218"/>
      <c r="H63" s="224" t="str">
        <f>IF(G63="","This practice cannot be used for hotspot treatment",IF(G63="Yes","Does not meet design criteria",""))</f>
        <v>This practice cannot be used for hotspot treatment</v>
      </c>
      <c r="I63" s="132"/>
      <c r="J63" s="132"/>
      <c r="K63" s="132"/>
    </row>
    <row r="64" spans="1:11" ht="30" customHeight="1" x14ac:dyDescent="0.35">
      <c r="A64" s="245" t="s">
        <v>249</v>
      </c>
      <c r="B64" s="245"/>
      <c r="C64" s="245"/>
      <c r="D64" s="245"/>
      <c r="E64" s="245"/>
      <c r="F64" s="245"/>
      <c r="G64" s="218"/>
      <c r="H64" s="219" t="str">
        <f>IF(G64="NO","Does not meet design criteria","")</f>
        <v/>
      </c>
    </row>
    <row r="65" spans="1:8" ht="30" customHeight="1" x14ac:dyDescent="0.35">
      <c r="A65" s="245" t="s">
        <v>250</v>
      </c>
      <c r="B65" s="245"/>
      <c r="C65" s="245"/>
      <c r="D65" s="245"/>
      <c r="E65" s="245"/>
      <c r="F65" s="245"/>
      <c r="G65" s="218"/>
      <c r="H65" s="219" t="str">
        <f>IF(G65="NO","Does not meet design criteria","")</f>
        <v/>
      </c>
    </row>
    <row r="66" spans="1:8" ht="30" customHeight="1" x14ac:dyDescent="0.35">
      <c r="A66" s="242" t="s">
        <v>251</v>
      </c>
      <c r="B66" s="243"/>
      <c r="C66" s="243"/>
      <c r="D66" s="243"/>
      <c r="E66" s="243"/>
      <c r="F66" s="244"/>
      <c r="G66" s="210"/>
      <c r="H66" s="219" t="str">
        <f>IF(G66&gt;150,"Does not meet design criteria","")</f>
        <v/>
      </c>
    </row>
    <row r="67" spans="1:8" ht="30.65" customHeight="1" x14ac:dyDescent="0.35">
      <c r="A67" s="242" t="s">
        <v>252</v>
      </c>
      <c r="B67" s="243"/>
      <c r="C67" s="243"/>
      <c r="D67" s="243"/>
      <c r="E67" s="243"/>
      <c r="F67" s="244"/>
      <c r="G67" s="210"/>
      <c r="H67" s="219" t="str">
        <f>IF(G67&gt;75,"Does not meet design criteria","")</f>
        <v/>
      </c>
    </row>
    <row r="68" spans="1:8" ht="30" customHeight="1" x14ac:dyDescent="0.35">
      <c r="A68" s="242" t="s">
        <v>253</v>
      </c>
      <c r="B68" s="243"/>
      <c r="C68" s="243"/>
      <c r="D68" s="243"/>
      <c r="E68" s="243"/>
      <c r="F68" s="244"/>
      <c r="G68" s="210"/>
      <c r="H68" s="219" t="str">
        <f>IF(G68&gt;10,"Does not meet design criteria","")</f>
        <v/>
      </c>
    </row>
    <row r="69" spans="1:8" ht="30" customHeight="1" x14ac:dyDescent="0.35">
      <c r="A69" s="242" t="s">
        <v>254</v>
      </c>
      <c r="B69" s="243"/>
      <c r="C69" s="243"/>
      <c r="D69" s="243"/>
      <c r="E69" s="243"/>
      <c r="F69" s="244"/>
      <c r="G69" s="212">
        <f>IF(G68&lt;=5,35,IF(G68&lt;=10,60,IF(G68&gt;10,"")))</f>
        <v>35</v>
      </c>
      <c r="H69" s="219" t="str">
        <f>IF(G68&gt;10,"Does not meet design criteria","")</f>
        <v/>
      </c>
    </row>
    <row r="70" spans="1:8" ht="30" customHeight="1" x14ac:dyDescent="0.35">
      <c r="A70" s="242" t="s">
        <v>255</v>
      </c>
      <c r="B70" s="243"/>
      <c r="C70" s="243"/>
      <c r="D70" s="243"/>
      <c r="E70" s="243"/>
      <c r="F70" s="244"/>
      <c r="G70" s="210"/>
      <c r="H70" s="219" t="str">
        <f>IF(G70&gt;2,"Does not meet design criteria","")</f>
        <v/>
      </c>
    </row>
    <row r="71" spans="1:8" ht="13.15" customHeight="1" x14ac:dyDescent="0.3">
      <c r="A71" s="246" t="s">
        <v>232</v>
      </c>
      <c r="B71" s="247"/>
      <c r="C71" s="247"/>
      <c r="D71" s="247"/>
      <c r="E71" s="247"/>
      <c r="F71" s="247"/>
      <c r="G71" s="247"/>
      <c r="H71" s="247"/>
    </row>
    <row r="72" spans="1:8" ht="13" x14ac:dyDescent="0.35">
      <c r="A72" s="35"/>
      <c r="B72" s="36"/>
      <c r="C72" s="36"/>
      <c r="D72" s="37"/>
      <c r="E72" s="302" t="s">
        <v>256</v>
      </c>
      <c r="F72" s="302"/>
      <c r="G72" s="38" t="s">
        <v>257</v>
      </c>
      <c r="H72" s="38" t="s">
        <v>258</v>
      </c>
    </row>
    <row r="73" spans="1:8" ht="13.15" customHeight="1" x14ac:dyDescent="0.35">
      <c r="A73" s="289" t="s">
        <v>259</v>
      </c>
      <c r="B73" s="289"/>
      <c r="C73" s="289"/>
      <c r="D73" s="133" t="s">
        <v>260</v>
      </c>
      <c r="E73" s="303"/>
      <c r="F73" s="304"/>
      <c r="G73" s="193" t="s">
        <v>261</v>
      </c>
      <c r="H73" s="219" t="str">
        <f>IF(E73="","",IF(E73&lt;6,"Does not meet design criteria",""))</f>
        <v/>
      </c>
    </row>
    <row r="74" spans="1:8" ht="13.15" customHeight="1" x14ac:dyDescent="0.35">
      <c r="A74" s="289" t="s">
        <v>262</v>
      </c>
      <c r="B74" s="289"/>
      <c r="C74" s="289"/>
      <c r="D74" s="133" t="s">
        <v>263</v>
      </c>
      <c r="E74" s="306"/>
      <c r="F74" s="307"/>
      <c r="G74" s="193" t="s">
        <v>264</v>
      </c>
      <c r="H74" s="219"/>
    </row>
    <row r="75" spans="1:8" ht="13.15" customHeight="1" x14ac:dyDescent="0.35">
      <c r="A75" s="266" t="s">
        <v>265</v>
      </c>
      <c r="B75" s="267"/>
      <c r="C75" s="268"/>
      <c r="D75" s="133" t="s">
        <v>214</v>
      </c>
      <c r="E75" s="306"/>
      <c r="F75" s="307"/>
      <c r="G75" s="193" t="s">
        <v>266</v>
      </c>
      <c r="H75" s="219" t="str">
        <f>IF(E75&gt;0.08,"Does not meet design criteria","")</f>
        <v/>
      </c>
    </row>
    <row r="76" spans="1:8" ht="13.15" customHeight="1" x14ac:dyDescent="0.35">
      <c r="A76" s="289" t="s">
        <v>267</v>
      </c>
      <c r="B76" s="289"/>
      <c r="C76" s="289"/>
      <c r="D76" s="133" t="s">
        <v>268</v>
      </c>
      <c r="E76" s="306"/>
      <c r="F76" s="307"/>
      <c r="G76" s="193"/>
      <c r="H76" s="219"/>
    </row>
    <row r="77" spans="1:8" ht="13.15" customHeight="1" x14ac:dyDescent="0.35">
      <c r="A77" s="266" t="s">
        <v>269</v>
      </c>
      <c r="B77" s="267"/>
      <c r="C77" s="268"/>
      <c r="D77" s="133" t="s">
        <v>270</v>
      </c>
      <c r="E77" s="308" t="e">
        <f>ROUND(((E73^1.25)*(E74^0.625)*(E75^0.5))/(0.338*E76),0)</f>
        <v>#DIV/0!</v>
      </c>
      <c r="F77" s="308"/>
      <c r="G77" s="193" t="s">
        <v>271</v>
      </c>
      <c r="H77" s="219"/>
    </row>
    <row r="78" spans="1:8" ht="13.15" customHeight="1" x14ac:dyDescent="0.35">
      <c r="A78" s="266" t="s">
        <v>272</v>
      </c>
      <c r="B78" s="267"/>
      <c r="C78" s="268"/>
      <c r="D78" s="133" t="s">
        <v>270</v>
      </c>
      <c r="E78" s="308" t="e">
        <f>ROUND(IF(E77&gt;G69,E77,IF(E77&lt;G69,G69)),0)</f>
        <v>#DIV/0!</v>
      </c>
      <c r="F78" s="308"/>
      <c r="G78" s="193" t="s">
        <v>271</v>
      </c>
      <c r="H78" s="219"/>
    </row>
    <row r="79" spans="1:8" ht="13.15" customHeight="1" x14ac:dyDescent="0.35">
      <c r="A79" s="266" t="s">
        <v>273</v>
      </c>
      <c r="B79" s="267"/>
      <c r="C79" s="267"/>
      <c r="D79" s="268"/>
      <c r="E79" s="306"/>
      <c r="F79" s="307"/>
      <c r="G79" s="266"/>
      <c r="H79" s="268"/>
    </row>
    <row r="80" spans="1:8" ht="13.15" customHeight="1" x14ac:dyDescent="0.35">
      <c r="A80" s="266" t="s">
        <v>274</v>
      </c>
      <c r="B80" s="267"/>
      <c r="C80" s="268"/>
      <c r="D80" s="133" t="s">
        <v>270</v>
      </c>
      <c r="E80" s="308" t="e">
        <f>ROUND(IF(E79="YES",E78*1.15,E78),0)</f>
        <v>#DIV/0!</v>
      </c>
      <c r="F80" s="308"/>
      <c r="G80" s="193" t="s">
        <v>271</v>
      </c>
      <c r="H80" s="219"/>
    </row>
    <row r="81" spans="1:11" ht="13.15" customHeight="1" x14ac:dyDescent="0.35">
      <c r="A81" s="266" t="s">
        <v>275</v>
      </c>
      <c r="B81" s="267"/>
      <c r="C81" s="268"/>
      <c r="D81" s="133" t="s">
        <v>270</v>
      </c>
      <c r="E81" s="305"/>
      <c r="F81" s="305"/>
      <c r="G81" s="193" t="s">
        <v>271</v>
      </c>
      <c r="H81" s="219" t="str">
        <f>IF(E81="","",IF(E77&gt;E81,"Does not meet design criteria",""))</f>
        <v/>
      </c>
    </row>
    <row r="82" spans="1:11" x14ac:dyDescent="0.35">
      <c r="A82" s="313"/>
      <c r="B82" s="313"/>
      <c r="C82" s="313"/>
      <c r="D82" s="313"/>
      <c r="E82" s="313"/>
      <c r="F82" s="313"/>
      <c r="G82" s="313"/>
      <c r="H82" s="313"/>
    </row>
    <row r="83" spans="1:11" ht="13.15" customHeight="1" x14ac:dyDescent="0.35">
      <c r="A83" s="236" t="s">
        <v>276</v>
      </c>
      <c r="B83" s="237"/>
      <c r="C83" s="237"/>
      <c r="D83" s="237"/>
      <c r="E83" s="237"/>
      <c r="F83" s="237"/>
      <c r="G83" s="237"/>
      <c r="H83" s="238"/>
    </row>
    <row r="84" spans="1:11" ht="13.15" customHeight="1" x14ac:dyDescent="0.35">
      <c r="A84" s="239" t="s">
        <v>241</v>
      </c>
      <c r="B84" s="239"/>
      <c r="C84" s="9" t="str">
        <f>IF(F58="","",IF(G63="Yes",0,IF(G62="NO",0,IF(G64="NO",0,IF(G65="NO",0,IF(G66&gt;150,0,IF(G67&gt;75,0,IF(G68&gt;10,0,IF(G70&gt;2,0,IF(E81&lt;E80,0,F58))))))))))</f>
        <v/>
      </c>
      <c r="D84" s="310" t="s">
        <v>2</v>
      </c>
      <c r="E84" s="311"/>
      <c r="F84" s="311"/>
      <c r="G84" s="311"/>
      <c r="H84" s="312"/>
    </row>
    <row r="85" spans="1:11" ht="13" x14ac:dyDescent="0.35">
      <c r="A85" s="16" t="s">
        <v>56</v>
      </c>
      <c r="B85" s="225" t="str">
        <f>IF('STEP 2-WQv Calculation'!$B$4="","",'STEP 2-WQv Calculation'!$B$4)</f>
        <v/>
      </c>
    </row>
    <row r="86" spans="1:11" ht="13.15" customHeight="1" x14ac:dyDescent="0.35">
      <c r="A86" s="309" t="s">
        <v>243</v>
      </c>
      <c r="B86" s="309"/>
      <c r="C86" s="309"/>
      <c r="D86" s="309"/>
      <c r="E86" s="309"/>
      <c r="F86" s="309"/>
      <c r="G86" s="309"/>
      <c r="H86" s="309"/>
    </row>
    <row r="87" spans="1:11" ht="38.5" x14ac:dyDescent="0.35">
      <c r="A87" s="204" t="s">
        <v>60</v>
      </c>
      <c r="B87" s="205" t="s">
        <v>61</v>
      </c>
      <c r="C87" s="205" t="s">
        <v>62</v>
      </c>
      <c r="D87" s="205" t="s">
        <v>63</v>
      </c>
      <c r="E87" s="205" t="s">
        <v>64</v>
      </c>
      <c r="F87" s="205" t="s">
        <v>65</v>
      </c>
      <c r="G87" s="205" t="s">
        <v>244</v>
      </c>
      <c r="H87" s="206" t="s">
        <v>13</v>
      </c>
    </row>
    <row r="88" spans="1:11" x14ac:dyDescent="0.35">
      <c r="A88" s="17"/>
      <c r="B88" s="18" t="str">
        <f>IF($A88="","",(LOOKUP($A88,'STEP 2-WQv Calculation'!$A$8:$A$37,'STEP 2-WQv Calculation'!$B$8:$B$37)))</f>
        <v/>
      </c>
      <c r="C88" s="18" t="str">
        <f>IF($A88="","",(LOOKUP($A88,'STEP 2-WQv Calculation'!$A$8:$A$37,'STEP 2-WQv Calculation'!$C$8:$C$37)))</f>
        <v/>
      </c>
      <c r="D88" s="53" t="str">
        <f>IF($A88="","",(LOOKUP($A88,'STEP 2-WQv Calculation'!$A$8:$A$37,'STEP 2-WQv Calculation'!$D$8:$D$37)))</f>
        <v/>
      </c>
      <c r="E88" s="18" t="str">
        <f>IF($A88="","",(LOOKUP($A88,'STEP 2-WQv Calculation'!$A$8:$A$37,'STEP 2-WQv Calculation'!$E$8:$E$37)))</f>
        <v/>
      </c>
      <c r="F88" s="42" t="str">
        <f>IF($A88="","",(LOOKUP($A88,'STEP 2-WQv Calculation'!$A$8:$A$37,'STEP 2-WQv Calculation'!$F$8:$F$37)))</f>
        <v/>
      </c>
      <c r="G88" s="18">
        <f>'STEP 2-WQv Calculation'!B5</f>
        <v>0</v>
      </c>
      <c r="H88" s="29" t="str">
        <f>IF($A88="","",(LOOKUP($A88,'STEP 2-WQv Calculation'!$A$8:$A$37,'STEP 2-WQv Calculation'!$G$8:$G$37)))</f>
        <v/>
      </c>
    </row>
    <row r="89" spans="1:11" ht="13.15" customHeight="1" x14ac:dyDescent="0.35">
      <c r="A89" s="241" t="s">
        <v>226</v>
      </c>
      <c r="B89" s="241"/>
      <c r="C89" s="241"/>
      <c r="D89" s="241"/>
      <c r="E89" s="241"/>
      <c r="F89" s="241"/>
      <c r="G89" s="241"/>
      <c r="H89" s="241"/>
    </row>
    <row r="90" spans="1:11" ht="26.5" customHeight="1" x14ac:dyDescent="0.35">
      <c r="A90" s="245" t="s">
        <v>246</v>
      </c>
      <c r="B90" s="245"/>
      <c r="C90" s="245"/>
      <c r="D90" s="245"/>
      <c r="E90" s="245"/>
      <c r="F90" s="245"/>
      <c r="G90" s="218"/>
      <c r="H90" s="219" t="str">
        <f>IF(G90="NO","Does not meet design criteria","")</f>
        <v/>
      </c>
    </row>
    <row r="91" spans="1:11" ht="36.75" customHeight="1" x14ac:dyDescent="0.35">
      <c r="A91" s="245" t="s">
        <v>247</v>
      </c>
      <c r="B91" s="245"/>
      <c r="C91" s="245"/>
      <c r="D91" s="245"/>
      <c r="E91" s="245"/>
      <c r="F91" s="245"/>
      <c r="G91" s="218"/>
      <c r="H91" s="224" t="str">
        <f>IF(G91="","This practice cannot be used for hotspot treatment",IF(G91="Yes","Does not meet design criteria",""))</f>
        <v>This practice cannot be used for hotspot treatment</v>
      </c>
      <c r="I91" s="132"/>
      <c r="J91" s="132"/>
      <c r="K91" s="132"/>
    </row>
    <row r="92" spans="1:11" ht="30" customHeight="1" x14ac:dyDescent="0.35">
      <c r="A92" s="245" t="s">
        <v>249</v>
      </c>
      <c r="B92" s="245"/>
      <c r="C92" s="245"/>
      <c r="D92" s="245"/>
      <c r="E92" s="245"/>
      <c r="F92" s="245"/>
      <c r="G92" s="218"/>
      <c r="H92" s="219" t="str">
        <f>IF(G92="NO","Does not meet design criteria","")</f>
        <v/>
      </c>
    </row>
    <row r="93" spans="1:11" ht="30" customHeight="1" x14ac:dyDescent="0.35">
      <c r="A93" s="245" t="s">
        <v>250</v>
      </c>
      <c r="B93" s="245"/>
      <c r="C93" s="245"/>
      <c r="D93" s="245"/>
      <c r="E93" s="245"/>
      <c r="F93" s="245"/>
      <c r="G93" s="218"/>
      <c r="H93" s="219" t="str">
        <f>IF(G93="NO","Does not meet design criteria","")</f>
        <v/>
      </c>
    </row>
    <row r="94" spans="1:11" ht="30" customHeight="1" x14ac:dyDescent="0.35">
      <c r="A94" s="242" t="s">
        <v>251</v>
      </c>
      <c r="B94" s="243"/>
      <c r="C94" s="243"/>
      <c r="D94" s="243"/>
      <c r="E94" s="243"/>
      <c r="F94" s="244"/>
      <c r="G94" s="210"/>
      <c r="H94" s="219" t="str">
        <f>IF(G94&gt;150,"Does not meet design criteria","")</f>
        <v/>
      </c>
    </row>
    <row r="95" spans="1:11" ht="29.5" customHeight="1" x14ac:dyDescent="0.35">
      <c r="A95" s="242" t="s">
        <v>252</v>
      </c>
      <c r="B95" s="243"/>
      <c r="C95" s="243"/>
      <c r="D95" s="243"/>
      <c r="E95" s="243"/>
      <c r="F95" s="244"/>
      <c r="G95" s="210"/>
      <c r="H95" s="219" t="str">
        <f>IF(G95&gt;75,"Does not meet design criteria","")</f>
        <v/>
      </c>
    </row>
    <row r="96" spans="1:11" ht="29.5" customHeight="1" x14ac:dyDescent="0.35">
      <c r="A96" s="242" t="s">
        <v>253</v>
      </c>
      <c r="B96" s="243"/>
      <c r="C96" s="243"/>
      <c r="D96" s="243"/>
      <c r="E96" s="243"/>
      <c r="F96" s="244"/>
      <c r="G96" s="210"/>
      <c r="H96" s="219" t="str">
        <f>IF(G96&gt;10,"Does not meet design criteria","")</f>
        <v/>
      </c>
    </row>
    <row r="97" spans="1:8" ht="30" customHeight="1" x14ac:dyDescent="0.35">
      <c r="A97" s="242" t="s">
        <v>254</v>
      </c>
      <c r="B97" s="243"/>
      <c r="C97" s="243"/>
      <c r="D97" s="243"/>
      <c r="E97" s="243"/>
      <c r="F97" s="244"/>
      <c r="G97" s="212">
        <f>IF(G96&lt;=5,35,IF(G96&lt;=10,60,IF(G96&gt;10,"")))</f>
        <v>35</v>
      </c>
      <c r="H97" s="219" t="str">
        <f>IF(G96&gt;10,"Does not meet design criteria","")</f>
        <v/>
      </c>
    </row>
    <row r="98" spans="1:8" ht="30" customHeight="1" x14ac:dyDescent="0.35">
      <c r="A98" s="242" t="s">
        <v>255</v>
      </c>
      <c r="B98" s="243"/>
      <c r="C98" s="243"/>
      <c r="D98" s="243"/>
      <c r="E98" s="243"/>
      <c r="F98" s="244"/>
      <c r="G98" s="210"/>
      <c r="H98" s="219" t="str">
        <f>IF(G98&gt;2,"Does not meet design criteria","")</f>
        <v/>
      </c>
    </row>
    <row r="99" spans="1:8" ht="13.15" customHeight="1" x14ac:dyDescent="0.3">
      <c r="A99" s="246" t="s">
        <v>232</v>
      </c>
      <c r="B99" s="247"/>
      <c r="C99" s="247"/>
      <c r="D99" s="247"/>
      <c r="E99" s="247"/>
      <c r="F99" s="247"/>
      <c r="G99" s="247"/>
      <c r="H99" s="247"/>
    </row>
    <row r="100" spans="1:8" ht="13" x14ac:dyDescent="0.35">
      <c r="A100" s="35"/>
      <c r="B100" s="36"/>
      <c r="C100" s="36"/>
      <c r="D100" s="37"/>
      <c r="E100" s="302" t="s">
        <v>256</v>
      </c>
      <c r="F100" s="302"/>
      <c r="G100" s="38" t="s">
        <v>257</v>
      </c>
      <c r="H100" s="38" t="s">
        <v>258</v>
      </c>
    </row>
    <row r="101" spans="1:8" ht="13.15" customHeight="1" x14ac:dyDescent="0.35">
      <c r="A101" s="289" t="s">
        <v>259</v>
      </c>
      <c r="B101" s="289"/>
      <c r="C101" s="289"/>
      <c r="D101" s="133" t="s">
        <v>260</v>
      </c>
      <c r="E101" s="303"/>
      <c r="F101" s="304"/>
      <c r="G101" s="193" t="s">
        <v>261</v>
      </c>
      <c r="H101" s="219" t="str">
        <f>IF(E101="","",IF(E101&lt;6,"Does not meet design criteria",""))</f>
        <v/>
      </c>
    </row>
    <row r="102" spans="1:8" ht="13.15" customHeight="1" x14ac:dyDescent="0.35">
      <c r="A102" s="289" t="s">
        <v>262</v>
      </c>
      <c r="B102" s="289"/>
      <c r="C102" s="289"/>
      <c r="D102" s="133" t="s">
        <v>263</v>
      </c>
      <c r="E102" s="306"/>
      <c r="F102" s="307"/>
      <c r="G102" s="193" t="s">
        <v>264</v>
      </c>
      <c r="H102" s="219"/>
    </row>
    <row r="103" spans="1:8" ht="13.15" customHeight="1" x14ac:dyDescent="0.35">
      <c r="A103" s="266" t="s">
        <v>265</v>
      </c>
      <c r="B103" s="267"/>
      <c r="C103" s="268"/>
      <c r="D103" s="133" t="s">
        <v>214</v>
      </c>
      <c r="E103" s="306"/>
      <c r="F103" s="307"/>
      <c r="G103" s="193" t="s">
        <v>266</v>
      </c>
      <c r="H103" s="219" t="str">
        <f>IF(E103&gt;0.08,"Does not meet design criteria","")</f>
        <v/>
      </c>
    </row>
    <row r="104" spans="1:8" ht="13.15" customHeight="1" x14ac:dyDescent="0.35">
      <c r="A104" s="289" t="s">
        <v>267</v>
      </c>
      <c r="B104" s="289"/>
      <c r="C104" s="289"/>
      <c r="D104" s="133" t="s">
        <v>268</v>
      </c>
      <c r="E104" s="306"/>
      <c r="F104" s="307"/>
      <c r="G104" s="193"/>
      <c r="H104" s="219"/>
    </row>
    <row r="105" spans="1:8" ht="13.15" customHeight="1" x14ac:dyDescent="0.35">
      <c r="A105" s="266" t="s">
        <v>269</v>
      </c>
      <c r="B105" s="267"/>
      <c r="C105" s="268"/>
      <c r="D105" s="133" t="s">
        <v>270</v>
      </c>
      <c r="E105" s="308" t="e">
        <f>ROUND(((E101^1.25)*(E102^0.625)*(E103^0.5))/(0.338*E104),0)</f>
        <v>#DIV/0!</v>
      </c>
      <c r="F105" s="308"/>
      <c r="G105" s="193" t="s">
        <v>271</v>
      </c>
      <c r="H105" s="219"/>
    </row>
    <row r="106" spans="1:8" ht="13.15" customHeight="1" x14ac:dyDescent="0.35">
      <c r="A106" s="266" t="s">
        <v>272</v>
      </c>
      <c r="B106" s="267"/>
      <c r="C106" s="268"/>
      <c r="D106" s="133" t="s">
        <v>270</v>
      </c>
      <c r="E106" s="308" t="e">
        <f>ROUND(IF(E105&gt;G97,E105,IF(E105&lt;G97,G97)),0)</f>
        <v>#DIV/0!</v>
      </c>
      <c r="F106" s="308"/>
      <c r="G106" s="193" t="s">
        <v>271</v>
      </c>
      <c r="H106" s="219"/>
    </row>
    <row r="107" spans="1:8" ht="13.15" customHeight="1" x14ac:dyDescent="0.35">
      <c r="A107" s="266" t="s">
        <v>273</v>
      </c>
      <c r="B107" s="267"/>
      <c r="C107" s="267"/>
      <c r="D107" s="268"/>
      <c r="E107" s="306"/>
      <c r="F107" s="307"/>
      <c r="G107" s="266"/>
      <c r="H107" s="268"/>
    </row>
    <row r="108" spans="1:8" ht="13.15" customHeight="1" x14ac:dyDescent="0.35">
      <c r="A108" s="266" t="s">
        <v>274</v>
      </c>
      <c r="B108" s="267"/>
      <c r="C108" s="268"/>
      <c r="D108" s="133" t="s">
        <v>270</v>
      </c>
      <c r="E108" s="308" t="e">
        <f>ROUND(IF(E107="YES",E106*1.15,E106),0)</f>
        <v>#DIV/0!</v>
      </c>
      <c r="F108" s="308"/>
      <c r="G108" s="193" t="s">
        <v>271</v>
      </c>
      <c r="H108" s="219"/>
    </row>
    <row r="109" spans="1:8" ht="13.15" customHeight="1" x14ac:dyDescent="0.35">
      <c r="A109" s="266" t="s">
        <v>275</v>
      </c>
      <c r="B109" s="267"/>
      <c r="C109" s="268"/>
      <c r="D109" s="133" t="s">
        <v>270</v>
      </c>
      <c r="E109" s="305"/>
      <c r="F109" s="305"/>
      <c r="G109" s="193" t="s">
        <v>271</v>
      </c>
      <c r="H109" s="219" t="str">
        <f>IF(E109="","",IF(E105&gt;E109,"Does not meet design criteria",""))</f>
        <v/>
      </c>
    </row>
    <row r="110" spans="1:8" x14ac:dyDescent="0.35">
      <c r="A110" s="313"/>
      <c r="B110" s="313"/>
      <c r="C110" s="313"/>
      <c r="D110" s="313"/>
      <c r="E110" s="313"/>
      <c r="F110" s="313"/>
      <c r="G110" s="313"/>
      <c r="H110" s="313"/>
    </row>
    <row r="111" spans="1:8" ht="13.15" customHeight="1" x14ac:dyDescent="0.35">
      <c r="A111" s="236" t="s">
        <v>276</v>
      </c>
      <c r="B111" s="237"/>
      <c r="C111" s="237"/>
      <c r="D111" s="237"/>
      <c r="E111" s="237"/>
      <c r="F111" s="237"/>
      <c r="G111" s="237"/>
      <c r="H111" s="238"/>
    </row>
    <row r="112" spans="1:8" ht="13.15" customHeight="1" x14ac:dyDescent="0.35">
      <c r="A112" s="239" t="s">
        <v>241</v>
      </c>
      <c r="B112" s="239"/>
      <c r="C112" s="9" t="str">
        <f>IF(F86="","",IF(G91="Yes",0,IF(G90="NO",0,IF(G92="NO",0,IF(G93="NO",0,IF(G94&gt;150,0,IF(G95&gt;75,0,IF(G96&gt;10,0,IF(G98&gt;2,0,IF(E109&lt;E108,0,F86))))))))))</f>
        <v/>
      </c>
      <c r="D112" s="310" t="s">
        <v>2</v>
      </c>
      <c r="E112" s="311"/>
      <c r="F112" s="311"/>
      <c r="G112" s="311"/>
      <c r="H112" s="312"/>
    </row>
    <row r="113" spans="1:11" ht="13" x14ac:dyDescent="0.35">
      <c r="A113" s="16" t="s">
        <v>56</v>
      </c>
      <c r="B113" s="225" t="str">
        <f>IF('STEP 2-WQv Calculation'!$B$4="","",'STEP 2-WQv Calculation'!$B$4)</f>
        <v/>
      </c>
    </row>
    <row r="114" spans="1:11" ht="13.15" customHeight="1" x14ac:dyDescent="0.35">
      <c r="A114" s="309" t="s">
        <v>243</v>
      </c>
      <c r="B114" s="309"/>
      <c r="C114" s="309"/>
      <c r="D114" s="309"/>
      <c r="E114" s="309"/>
      <c r="F114" s="309"/>
      <c r="G114" s="309"/>
      <c r="H114" s="309"/>
    </row>
    <row r="115" spans="1:11" ht="38.5" x14ac:dyDescent="0.35">
      <c r="A115" s="204" t="s">
        <v>60</v>
      </c>
      <c r="B115" s="205" t="s">
        <v>61</v>
      </c>
      <c r="C115" s="205" t="s">
        <v>62</v>
      </c>
      <c r="D115" s="205" t="s">
        <v>63</v>
      </c>
      <c r="E115" s="205" t="s">
        <v>64</v>
      </c>
      <c r="F115" s="205" t="s">
        <v>65</v>
      </c>
      <c r="G115" s="205" t="s">
        <v>244</v>
      </c>
      <c r="H115" s="206" t="s">
        <v>13</v>
      </c>
    </row>
    <row r="116" spans="1:11" x14ac:dyDescent="0.35">
      <c r="A116" s="17"/>
      <c r="B116" s="18" t="str">
        <f>IF($A116="","",(LOOKUP($A116,'STEP 2-WQv Calculation'!$A$8:$A$37,'STEP 2-WQv Calculation'!$B$8:$B$37)))</f>
        <v/>
      </c>
      <c r="C116" s="18" t="str">
        <f>IF($A116="","",(LOOKUP($A116,'STEP 2-WQv Calculation'!$A$8:$A$37,'STEP 2-WQv Calculation'!$C$8:$C$37)))</f>
        <v/>
      </c>
      <c r="D116" s="53" t="str">
        <f>IF($A116="","",(LOOKUP($A116,'STEP 2-WQv Calculation'!$A$8:$A$37,'STEP 2-WQv Calculation'!$D$8:$D$37)))</f>
        <v/>
      </c>
      <c r="E116" s="18" t="str">
        <f>IF($A116="","",(LOOKUP($A116,'STEP 2-WQv Calculation'!$A$8:$A$37,'STEP 2-WQv Calculation'!$E$8:$E$37)))</f>
        <v/>
      </c>
      <c r="F116" s="42" t="str">
        <f>IF($A116="","",(LOOKUP($A116,'STEP 2-WQv Calculation'!$A$8:$A$37,'STEP 2-WQv Calculation'!$F$8:$F$37)))</f>
        <v/>
      </c>
      <c r="G116" s="18">
        <f>'STEP 2-WQv Calculation'!B5</f>
        <v>0</v>
      </c>
      <c r="H116" s="29" t="str">
        <f>IF($A116="","",(LOOKUP($A116,'STEP 2-WQv Calculation'!$A$8:$A$37,'STEP 2-WQv Calculation'!$G$8:$G$37)))</f>
        <v/>
      </c>
    </row>
    <row r="117" spans="1:11" ht="13.15" customHeight="1" x14ac:dyDescent="0.35">
      <c r="A117" s="241" t="s">
        <v>226</v>
      </c>
      <c r="B117" s="241"/>
      <c r="C117" s="241"/>
      <c r="D117" s="241"/>
      <c r="E117" s="241"/>
      <c r="F117" s="241"/>
      <c r="G117" s="241"/>
      <c r="H117" s="241"/>
    </row>
    <row r="118" spans="1:11" ht="26.5" customHeight="1" x14ac:dyDescent="0.35">
      <c r="A118" s="245" t="s">
        <v>246</v>
      </c>
      <c r="B118" s="245"/>
      <c r="C118" s="245"/>
      <c r="D118" s="245"/>
      <c r="E118" s="245"/>
      <c r="F118" s="245"/>
      <c r="G118" s="218"/>
      <c r="H118" s="219" t="str">
        <f>IF(G118="NO","Does not meet design criteria","")</f>
        <v/>
      </c>
    </row>
    <row r="119" spans="1:11" ht="36.75" customHeight="1" x14ac:dyDescent="0.35">
      <c r="A119" s="245" t="s">
        <v>247</v>
      </c>
      <c r="B119" s="245"/>
      <c r="C119" s="245"/>
      <c r="D119" s="245"/>
      <c r="E119" s="245"/>
      <c r="F119" s="245"/>
      <c r="G119" s="218"/>
      <c r="H119" s="224" t="str">
        <f>IF(G119="","This practice cannot be used for hotspot treatment",IF(G119="Yes","Does not meet design criteria",""))</f>
        <v>This practice cannot be used for hotspot treatment</v>
      </c>
      <c r="I119" s="132"/>
      <c r="J119" s="132"/>
      <c r="K119" s="132"/>
    </row>
    <row r="120" spans="1:11" ht="30" customHeight="1" x14ac:dyDescent="0.35">
      <c r="A120" s="245" t="s">
        <v>249</v>
      </c>
      <c r="B120" s="245"/>
      <c r="C120" s="245"/>
      <c r="D120" s="245"/>
      <c r="E120" s="245"/>
      <c r="F120" s="245"/>
      <c r="G120" s="218"/>
      <c r="H120" s="219" t="str">
        <f>IF(G120="NO","Does not meet design criteria","")</f>
        <v/>
      </c>
    </row>
    <row r="121" spans="1:11" ht="30" customHeight="1" x14ac:dyDescent="0.35">
      <c r="A121" s="245" t="s">
        <v>250</v>
      </c>
      <c r="B121" s="245"/>
      <c r="C121" s="245"/>
      <c r="D121" s="245"/>
      <c r="E121" s="245"/>
      <c r="F121" s="245"/>
      <c r="G121" s="218"/>
      <c r="H121" s="219" t="str">
        <f>IF(G121="NO","Does not meet design criteria","")</f>
        <v/>
      </c>
    </row>
    <row r="122" spans="1:11" ht="30" customHeight="1" x14ac:dyDescent="0.35">
      <c r="A122" s="242" t="s">
        <v>251</v>
      </c>
      <c r="B122" s="243"/>
      <c r="C122" s="243"/>
      <c r="D122" s="243"/>
      <c r="E122" s="243"/>
      <c r="F122" s="244"/>
      <c r="G122" s="210"/>
      <c r="H122" s="219" t="str">
        <f>IF(G122&gt;150,"Does not meet design criteria","")</f>
        <v/>
      </c>
    </row>
    <row r="123" spans="1:11" ht="30" customHeight="1" x14ac:dyDescent="0.35">
      <c r="A123" s="242" t="s">
        <v>252</v>
      </c>
      <c r="B123" s="243"/>
      <c r="C123" s="243"/>
      <c r="D123" s="243"/>
      <c r="E123" s="243"/>
      <c r="F123" s="244"/>
      <c r="G123" s="210"/>
      <c r="H123" s="219" t="str">
        <f>IF(G123&gt;75,"Does not meet design criteria","")</f>
        <v/>
      </c>
    </row>
    <row r="124" spans="1:11" ht="30" customHeight="1" x14ac:dyDescent="0.35">
      <c r="A124" s="242" t="s">
        <v>253</v>
      </c>
      <c r="B124" s="243"/>
      <c r="C124" s="243"/>
      <c r="D124" s="243"/>
      <c r="E124" s="243"/>
      <c r="F124" s="244"/>
      <c r="G124" s="210"/>
      <c r="H124" s="219" t="str">
        <f>IF(G124&gt;10,"Does not meet design criteria","")</f>
        <v/>
      </c>
    </row>
    <row r="125" spans="1:11" ht="30" customHeight="1" x14ac:dyDescent="0.35">
      <c r="A125" s="242" t="s">
        <v>254</v>
      </c>
      <c r="B125" s="243"/>
      <c r="C125" s="243"/>
      <c r="D125" s="243"/>
      <c r="E125" s="243"/>
      <c r="F125" s="244"/>
      <c r="G125" s="212">
        <f>IF(G124&lt;=5,35,IF(G124&lt;=10,60,IF(G124&gt;10,"")))</f>
        <v>35</v>
      </c>
      <c r="H125" s="219" t="str">
        <f>IF(G124&gt;10,"Does not meet design criteria","")</f>
        <v/>
      </c>
    </row>
    <row r="126" spans="1:11" ht="30" customHeight="1" x14ac:dyDescent="0.35">
      <c r="A126" s="242" t="s">
        <v>255</v>
      </c>
      <c r="B126" s="243"/>
      <c r="C126" s="243"/>
      <c r="D126" s="243"/>
      <c r="E126" s="243"/>
      <c r="F126" s="244"/>
      <c r="G126" s="210"/>
      <c r="H126" s="219" t="str">
        <f>IF(G126&gt;2,"Does not meet design criteria","")</f>
        <v/>
      </c>
    </row>
    <row r="127" spans="1:11" ht="13.15" customHeight="1" x14ac:dyDescent="0.3">
      <c r="A127" s="246" t="s">
        <v>232</v>
      </c>
      <c r="B127" s="247"/>
      <c r="C127" s="247"/>
      <c r="D127" s="247"/>
      <c r="E127" s="247"/>
      <c r="F127" s="247"/>
      <c r="G127" s="247"/>
      <c r="H127" s="247"/>
    </row>
    <row r="128" spans="1:11" ht="13" x14ac:dyDescent="0.35">
      <c r="A128" s="35"/>
      <c r="B128" s="36"/>
      <c r="C128" s="36"/>
      <c r="D128" s="37"/>
      <c r="E128" s="302" t="s">
        <v>256</v>
      </c>
      <c r="F128" s="302"/>
      <c r="G128" s="38" t="s">
        <v>257</v>
      </c>
      <c r="H128" s="38" t="s">
        <v>258</v>
      </c>
    </row>
    <row r="129" spans="1:8" ht="13.15" customHeight="1" x14ac:dyDescent="0.35">
      <c r="A129" s="289" t="s">
        <v>259</v>
      </c>
      <c r="B129" s="289"/>
      <c r="C129" s="289"/>
      <c r="D129" s="133" t="s">
        <v>260</v>
      </c>
      <c r="E129" s="303"/>
      <c r="F129" s="304"/>
      <c r="G129" s="193" t="s">
        <v>261</v>
      </c>
      <c r="H129" s="219" t="str">
        <f>IF(E129="","",IF(E129&lt;6,"Does not meet design criteria",""))</f>
        <v/>
      </c>
    </row>
    <row r="130" spans="1:8" ht="13.15" customHeight="1" x14ac:dyDescent="0.35">
      <c r="A130" s="289" t="s">
        <v>262</v>
      </c>
      <c r="B130" s="289"/>
      <c r="C130" s="289"/>
      <c r="D130" s="133" t="s">
        <v>263</v>
      </c>
      <c r="E130" s="306"/>
      <c r="F130" s="307"/>
      <c r="G130" s="193" t="s">
        <v>264</v>
      </c>
      <c r="H130" s="219"/>
    </row>
    <row r="131" spans="1:8" ht="13.15" customHeight="1" x14ac:dyDescent="0.35">
      <c r="A131" s="266" t="s">
        <v>265</v>
      </c>
      <c r="B131" s="267"/>
      <c r="C131" s="268"/>
      <c r="D131" s="133" t="s">
        <v>214</v>
      </c>
      <c r="E131" s="306"/>
      <c r="F131" s="307"/>
      <c r="G131" s="193" t="s">
        <v>266</v>
      </c>
      <c r="H131" s="219" t="str">
        <f>IF(E131&gt;0.08,"Does not meet design criteria","")</f>
        <v/>
      </c>
    </row>
    <row r="132" spans="1:8" ht="13.15" customHeight="1" x14ac:dyDescent="0.35">
      <c r="A132" s="289" t="s">
        <v>267</v>
      </c>
      <c r="B132" s="289"/>
      <c r="C132" s="289"/>
      <c r="D132" s="133" t="s">
        <v>268</v>
      </c>
      <c r="E132" s="306"/>
      <c r="F132" s="307"/>
      <c r="G132" s="193"/>
      <c r="H132" s="219"/>
    </row>
    <row r="133" spans="1:8" ht="13.15" customHeight="1" x14ac:dyDescent="0.35">
      <c r="A133" s="266" t="s">
        <v>269</v>
      </c>
      <c r="B133" s="267"/>
      <c r="C133" s="268"/>
      <c r="D133" s="133" t="s">
        <v>270</v>
      </c>
      <c r="E133" s="308" t="e">
        <f>ROUND(((E129^1.25)*(E130^0.625)*(E131^0.5))/(0.338*E132),0)</f>
        <v>#DIV/0!</v>
      </c>
      <c r="F133" s="308"/>
      <c r="G133" s="193" t="s">
        <v>271</v>
      </c>
      <c r="H133" s="219"/>
    </row>
    <row r="134" spans="1:8" ht="13.15" customHeight="1" x14ac:dyDescent="0.35">
      <c r="A134" s="266" t="s">
        <v>272</v>
      </c>
      <c r="B134" s="267"/>
      <c r="C134" s="268"/>
      <c r="D134" s="133" t="s">
        <v>270</v>
      </c>
      <c r="E134" s="308" t="e">
        <f>ROUND(IF(E133&gt;G125,E133,IF(E133&lt;G125,G125)),0)</f>
        <v>#DIV/0!</v>
      </c>
      <c r="F134" s="308"/>
      <c r="G134" s="193" t="s">
        <v>271</v>
      </c>
      <c r="H134" s="219"/>
    </row>
    <row r="135" spans="1:8" ht="13.15" customHeight="1" x14ac:dyDescent="0.35">
      <c r="A135" s="266" t="s">
        <v>273</v>
      </c>
      <c r="B135" s="267"/>
      <c r="C135" s="267"/>
      <c r="D135" s="268"/>
      <c r="E135" s="306"/>
      <c r="F135" s="307"/>
      <c r="G135" s="266"/>
      <c r="H135" s="268"/>
    </row>
    <row r="136" spans="1:8" ht="13.15" customHeight="1" x14ac:dyDescent="0.35">
      <c r="A136" s="266" t="s">
        <v>274</v>
      </c>
      <c r="B136" s="267"/>
      <c r="C136" s="268"/>
      <c r="D136" s="133" t="s">
        <v>270</v>
      </c>
      <c r="E136" s="308" t="e">
        <f>ROUND(IF(E135="YES",E134*1.15,E134),0)</f>
        <v>#DIV/0!</v>
      </c>
      <c r="F136" s="308"/>
      <c r="G136" s="193" t="s">
        <v>271</v>
      </c>
      <c r="H136" s="219"/>
    </row>
    <row r="137" spans="1:8" ht="13.15" customHeight="1" x14ac:dyDescent="0.35">
      <c r="A137" s="266" t="s">
        <v>275</v>
      </c>
      <c r="B137" s="267"/>
      <c r="C137" s="268"/>
      <c r="D137" s="133" t="s">
        <v>270</v>
      </c>
      <c r="E137" s="305"/>
      <c r="F137" s="305"/>
      <c r="G137" s="193" t="s">
        <v>271</v>
      </c>
      <c r="H137" s="219" t="str">
        <f>IF(E137="","",IF(E133&gt;E136,"Does not meet design criteria",""))</f>
        <v/>
      </c>
    </row>
    <row r="138" spans="1:8" x14ac:dyDescent="0.35">
      <c r="A138" s="313"/>
      <c r="B138" s="313"/>
      <c r="C138" s="313"/>
      <c r="D138" s="313"/>
      <c r="E138" s="313"/>
      <c r="F138" s="313"/>
      <c r="G138" s="313"/>
      <c r="H138" s="313"/>
    </row>
    <row r="139" spans="1:8" ht="13.15" customHeight="1" x14ac:dyDescent="0.35">
      <c r="A139" s="236" t="s">
        <v>276</v>
      </c>
      <c r="B139" s="237"/>
      <c r="C139" s="237"/>
      <c r="D139" s="237"/>
      <c r="E139" s="237"/>
      <c r="F139" s="237"/>
      <c r="G139" s="237"/>
      <c r="H139" s="238"/>
    </row>
    <row r="140" spans="1:8" ht="13.15" customHeight="1" x14ac:dyDescent="0.35">
      <c r="A140" s="239" t="s">
        <v>241</v>
      </c>
      <c r="B140" s="239"/>
      <c r="C140" s="9" t="str">
        <f>IF(F114="","",IF(G119="Yes",0,IF(G118="NO",0,IF(G120="NO",0,IF(G121="NO",0,IF(G122&gt;150,0,IF(G123&gt;75,0,IF(G124&gt;10,0,IF(G126&gt;2,0,IF(E137&lt;E136,0,F114))))))))))</f>
        <v/>
      </c>
      <c r="D140" s="310" t="s">
        <v>2</v>
      </c>
      <c r="E140" s="311"/>
      <c r="F140" s="311"/>
      <c r="G140" s="311"/>
      <c r="H140" s="312"/>
    </row>
    <row r="141" spans="1:8" ht="13" x14ac:dyDescent="0.35">
      <c r="A141" s="16" t="s">
        <v>56</v>
      </c>
      <c r="B141" s="225" t="str">
        <f>IF('STEP 2-WQv Calculation'!$B$4="","",'STEP 2-WQv Calculation'!$B$4)</f>
        <v/>
      </c>
    </row>
    <row r="142" spans="1:8" ht="13" x14ac:dyDescent="0.35">
      <c r="A142" s="309" t="s">
        <v>243</v>
      </c>
      <c r="B142" s="309"/>
      <c r="C142" s="309"/>
      <c r="D142" s="309"/>
      <c r="E142" s="309"/>
      <c r="F142" s="309"/>
      <c r="G142" s="309"/>
      <c r="H142" s="309"/>
    </row>
    <row r="143" spans="1:8" ht="38.5" x14ac:dyDescent="0.35">
      <c r="A143" s="204" t="s">
        <v>60</v>
      </c>
      <c r="B143" s="205" t="s">
        <v>61</v>
      </c>
      <c r="C143" s="205" t="s">
        <v>62</v>
      </c>
      <c r="D143" s="205" t="s">
        <v>63</v>
      </c>
      <c r="E143" s="205" t="s">
        <v>64</v>
      </c>
      <c r="F143" s="205" t="s">
        <v>65</v>
      </c>
      <c r="G143" s="205" t="s">
        <v>244</v>
      </c>
      <c r="H143" s="206" t="s">
        <v>13</v>
      </c>
    </row>
    <row r="144" spans="1:8" x14ac:dyDescent="0.35">
      <c r="A144" s="17"/>
      <c r="B144" s="18" t="str">
        <f>IF($A144="","",(LOOKUP($A144,'STEP 2-WQv Calculation'!$A$8:$A$37,'STEP 2-WQv Calculation'!$B$8:$B$37)))</f>
        <v/>
      </c>
      <c r="C144" s="18" t="str">
        <f>IF($A144="","",(LOOKUP($A144,'STEP 2-WQv Calculation'!$A$8:$A$37,'STEP 2-WQv Calculation'!$C$8:$C$37)))</f>
        <v/>
      </c>
      <c r="D144" s="53" t="str">
        <f>IF($A144="","",(LOOKUP($A144,'STEP 2-WQv Calculation'!$A$8:$A$37,'STEP 2-WQv Calculation'!$D$8:$D$37)))</f>
        <v/>
      </c>
      <c r="E144" s="18" t="str">
        <f>IF($A144="","",(LOOKUP($A144,'STEP 2-WQv Calculation'!$A$8:$A$37,'STEP 2-WQv Calculation'!$E$8:$E$37)))</f>
        <v/>
      </c>
      <c r="F144" s="42" t="str">
        <f>IF($A144="","",(LOOKUP($A144,'STEP 2-WQv Calculation'!$A$8:$A$37,'STEP 2-WQv Calculation'!$F$8:$F$37)))</f>
        <v/>
      </c>
      <c r="G144" s="18">
        <f>'STEP 2-WQv Calculation'!B33</f>
        <v>0</v>
      </c>
      <c r="H144" s="29" t="str">
        <f>IF($A144="","",(LOOKUP($A144,'STEP 2-WQv Calculation'!$A$8:$A$37,'STEP 2-WQv Calculation'!$G$8:$G$37)))</f>
        <v/>
      </c>
    </row>
    <row r="145" spans="1:8" ht="13" x14ac:dyDescent="0.35">
      <c r="A145" s="241" t="s">
        <v>226</v>
      </c>
      <c r="B145" s="241"/>
      <c r="C145" s="241"/>
      <c r="D145" s="241"/>
      <c r="E145" s="241"/>
      <c r="F145" s="241"/>
      <c r="G145" s="241"/>
      <c r="H145" s="241"/>
    </row>
    <row r="146" spans="1:8" x14ac:dyDescent="0.35">
      <c r="A146" s="245" t="s">
        <v>246</v>
      </c>
      <c r="B146" s="245"/>
      <c r="C146" s="245"/>
      <c r="D146" s="245"/>
      <c r="E146" s="245"/>
      <c r="F146" s="245"/>
      <c r="G146" s="218"/>
      <c r="H146" s="219" t="str">
        <f>IF(G146="NO","Does not meet design criteria","")</f>
        <v/>
      </c>
    </row>
    <row r="147" spans="1:8" ht="50" x14ac:dyDescent="0.35">
      <c r="A147" s="245" t="s">
        <v>247</v>
      </c>
      <c r="B147" s="245"/>
      <c r="C147" s="245"/>
      <c r="D147" s="245"/>
      <c r="E147" s="245"/>
      <c r="F147" s="245"/>
      <c r="G147" s="218"/>
      <c r="H147" s="224" t="str">
        <f>IF(G147="","This practice cannot be used for hotspot treatment",IF(G147="Yes","Does not meet design criteria",""))</f>
        <v>This practice cannot be used for hotspot treatment</v>
      </c>
    </row>
    <row r="148" spans="1:8" x14ac:dyDescent="0.35">
      <c r="A148" s="245" t="s">
        <v>249</v>
      </c>
      <c r="B148" s="245"/>
      <c r="C148" s="245"/>
      <c r="D148" s="245"/>
      <c r="E148" s="245"/>
      <c r="F148" s="245"/>
      <c r="G148" s="218"/>
      <c r="H148" s="219" t="str">
        <f>IF(G148="NO","Does not meet design criteria","")</f>
        <v/>
      </c>
    </row>
    <row r="149" spans="1:8" x14ac:dyDescent="0.35">
      <c r="A149" s="245" t="s">
        <v>250</v>
      </c>
      <c r="B149" s="245"/>
      <c r="C149" s="245"/>
      <c r="D149" s="245"/>
      <c r="E149" s="245"/>
      <c r="F149" s="245"/>
      <c r="G149" s="218"/>
      <c r="H149" s="219" t="str">
        <f>IF(G149="NO","Does not meet design criteria","")</f>
        <v/>
      </c>
    </row>
    <row r="150" spans="1:8" x14ac:dyDescent="0.35">
      <c r="A150" s="242" t="s">
        <v>251</v>
      </c>
      <c r="B150" s="243"/>
      <c r="C150" s="243"/>
      <c r="D150" s="243"/>
      <c r="E150" s="243"/>
      <c r="F150" s="244"/>
      <c r="G150" s="210"/>
      <c r="H150" s="219" t="str">
        <f>IF(G150&gt;150,"Does not meet design criteria","")</f>
        <v/>
      </c>
    </row>
    <row r="151" spans="1:8" x14ac:dyDescent="0.35">
      <c r="A151" s="242" t="s">
        <v>252</v>
      </c>
      <c r="B151" s="243"/>
      <c r="C151" s="243"/>
      <c r="D151" s="243"/>
      <c r="E151" s="243"/>
      <c r="F151" s="244"/>
      <c r="G151" s="210"/>
      <c r="H151" s="219" t="str">
        <f>IF(G151&gt;75,"Does not meet design criteria","")</f>
        <v/>
      </c>
    </row>
    <row r="152" spans="1:8" x14ac:dyDescent="0.35">
      <c r="A152" s="242" t="s">
        <v>253</v>
      </c>
      <c r="B152" s="243"/>
      <c r="C152" s="243"/>
      <c r="D152" s="243"/>
      <c r="E152" s="243"/>
      <c r="F152" s="244"/>
      <c r="G152" s="210"/>
      <c r="H152" s="219" t="str">
        <f>IF(G152&gt;10,"Does not meet design criteria","")</f>
        <v/>
      </c>
    </row>
    <row r="153" spans="1:8" x14ac:dyDescent="0.35">
      <c r="A153" s="242" t="s">
        <v>254</v>
      </c>
      <c r="B153" s="243"/>
      <c r="C153" s="243"/>
      <c r="D153" s="243"/>
      <c r="E153" s="243"/>
      <c r="F153" s="244"/>
      <c r="G153" s="212">
        <f>IF(G152&lt;=5,35,IF(G152&lt;=10,60,IF(G152&gt;10,"")))</f>
        <v>35</v>
      </c>
      <c r="H153" s="219" t="str">
        <f>IF(G152&gt;10,"Does not meet design criteria","")</f>
        <v/>
      </c>
    </row>
    <row r="154" spans="1:8" x14ac:dyDescent="0.35">
      <c r="A154" s="242" t="s">
        <v>255</v>
      </c>
      <c r="B154" s="243"/>
      <c r="C154" s="243"/>
      <c r="D154" s="243"/>
      <c r="E154" s="243"/>
      <c r="F154" s="244"/>
      <c r="G154" s="210"/>
      <c r="H154" s="219" t="str">
        <f>IF(G154&gt;2,"Does not meet design criteria","")</f>
        <v/>
      </c>
    </row>
    <row r="155" spans="1:8" ht="13" x14ac:dyDescent="0.3">
      <c r="A155" s="246" t="s">
        <v>232</v>
      </c>
      <c r="B155" s="247"/>
      <c r="C155" s="247"/>
      <c r="D155" s="247"/>
      <c r="E155" s="247"/>
      <c r="F155" s="247"/>
      <c r="G155" s="247"/>
      <c r="H155" s="247"/>
    </row>
    <row r="156" spans="1:8" ht="13" x14ac:dyDescent="0.35">
      <c r="A156" s="35"/>
      <c r="B156" s="36"/>
      <c r="C156" s="36"/>
      <c r="D156" s="37"/>
      <c r="E156" s="302" t="s">
        <v>256</v>
      </c>
      <c r="F156" s="302"/>
      <c r="G156" s="38" t="s">
        <v>257</v>
      </c>
      <c r="H156" s="38" t="s">
        <v>258</v>
      </c>
    </row>
    <row r="157" spans="1:8" ht="13" x14ac:dyDescent="0.35">
      <c r="A157" s="289" t="s">
        <v>259</v>
      </c>
      <c r="B157" s="289"/>
      <c r="C157" s="289"/>
      <c r="D157" s="133" t="s">
        <v>260</v>
      </c>
      <c r="E157" s="303"/>
      <c r="F157" s="304"/>
      <c r="G157" s="193" t="s">
        <v>261</v>
      </c>
      <c r="H157" s="219" t="str">
        <f>IF(E157="","",IF(E157&lt;6,"Does not meet design criteria",""))</f>
        <v/>
      </c>
    </row>
    <row r="158" spans="1:8" ht="13" x14ac:dyDescent="0.35">
      <c r="A158" s="289" t="s">
        <v>262</v>
      </c>
      <c r="B158" s="289"/>
      <c r="C158" s="289"/>
      <c r="D158" s="133" t="s">
        <v>263</v>
      </c>
      <c r="E158" s="306"/>
      <c r="F158" s="307"/>
      <c r="G158" s="193" t="s">
        <v>264</v>
      </c>
      <c r="H158" s="219"/>
    </row>
    <row r="159" spans="1:8" ht="13" x14ac:dyDescent="0.35">
      <c r="A159" s="266" t="s">
        <v>265</v>
      </c>
      <c r="B159" s="267"/>
      <c r="C159" s="268"/>
      <c r="D159" s="133" t="s">
        <v>214</v>
      </c>
      <c r="E159" s="306"/>
      <c r="F159" s="307"/>
      <c r="G159" s="193" t="s">
        <v>266</v>
      </c>
      <c r="H159" s="219" t="str">
        <f>IF(E159&gt;0.08,"Does not meet design criteria","")</f>
        <v/>
      </c>
    </row>
    <row r="160" spans="1:8" ht="13" x14ac:dyDescent="0.35">
      <c r="A160" s="289" t="s">
        <v>267</v>
      </c>
      <c r="B160" s="289"/>
      <c r="C160" s="289"/>
      <c r="D160" s="133" t="s">
        <v>268</v>
      </c>
      <c r="E160" s="306"/>
      <c r="F160" s="307"/>
      <c r="G160" s="193"/>
      <c r="H160" s="219"/>
    </row>
    <row r="161" spans="1:8" ht="13" x14ac:dyDescent="0.35">
      <c r="A161" s="266" t="s">
        <v>269</v>
      </c>
      <c r="B161" s="267"/>
      <c r="C161" s="268"/>
      <c r="D161" s="133" t="s">
        <v>270</v>
      </c>
      <c r="E161" s="308" t="e">
        <f>ROUND(((E157^1.25)*(E158^0.625)*(E159^0.5))/(0.338*E160),0)</f>
        <v>#DIV/0!</v>
      </c>
      <c r="F161" s="308"/>
      <c r="G161" s="193" t="s">
        <v>271</v>
      </c>
      <c r="H161" s="219"/>
    </row>
    <row r="162" spans="1:8" ht="13" x14ac:dyDescent="0.35">
      <c r="A162" s="266" t="s">
        <v>272</v>
      </c>
      <c r="B162" s="267"/>
      <c r="C162" s="268"/>
      <c r="D162" s="133" t="s">
        <v>270</v>
      </c>
      <c r="E162" s="308" t="e">
        <f>ROUND(IF(E161&gt;G153,E161,IF(E161&lt;G153,G153)),0)</f>
        <v>#DIV/0!</v>
      </c>
      <c r="F162" s="308"/>
      <c r="G162" s="193" t="s">
        <v>271</v>
      </c>
      <c r="H162" s="219"/>
    </row>
    <row r="163" spans="1:8" x14ac:dyDescent="0.35">
      <c r="A163" s="266" t="s">
        <v>273</v>
      </c>
      <c r="B163" s="267"/>
      <c r="C163" s="267"/>
      <c r="D163" s="268"/>
      <c r="E163" s="306"/>
      <c r="F163" s="307"/>
      <c r="G163" s="266"/>
      <c r="H163" s="268"/>
    </row>
    <row r="164" spans="1:8" ht="13" x14ac:dyDescent="0.35">
      <c r="A164" s="266" t="s">
        <v>274</v>
      </c>
      <c r="B164" s="267"/>
      <c r="C164" s="268"/>
      <c r="D164" s="133" t="s">
        <v>270</v>
      </c>
      <c r="E164" s="308" t="e">
        <f>ROUND(IF(E163="YES",E162*1.15,E162),0)</f>
        <v>#DIV/0!</v>
      </c>
      <c r="F164" s="308"/>
      <c r="G164" s="193" t="s">
        <v>271</v>
      </c>
      <c r="H164" s="219"/>
    </row>
    <row r="165" spans="1:8" ht="13" x14ac:dyDescent="0.35">
      <c r="A165" s="266" t="s">
        <v>275</v>
      </c>
      <c r="B165" s="267"/>
      <c r="C165" s="268"/>
      <c r="D165" s="133" t="s">
        <v>270</v>
      </c>
      <c r="E165" s="305"/>
      <c r="F165" s="305"/>
      <c r="G165" s="193" t="s">
        <v>271</v>
      </c>
      <c r="H165" s="219" t="str">
        <f>IF(E165="","",IF(E161&gt;E164,"Does not meet design criteria",""))</f>
        <v/>
      </c>
    </row>
    <row r="166" spans="1:8" x14ac:dyDescent="0.35">
      <c r="A166" s="313"/>
      <c r="B166" s="313"/>
      <c r="C166" s="313"/>
      <c r="D166" s="313"/>
      <c r="E166" s="313"/>
      <c r="F166" s="313"/>
      <c r="G166" s="313"/>
      <c r="H166" s="313"/>
    </row>
    <row r="167" spans="1:8" ht="13" x14ac:dyDescent="0.35">
      <c r="A167" s="236" t="s">
        <v>276</v>
      </c>
      <c r="B167" s="237"/>
      <c r="C167" s="237"/>
      <c r="D167" s="237"/>
      <c r="E167" s="237"/>
      <c r="F167" s="237"/>
      <c r="G167" s="237"/>
      <c r="H167" s="238"/>
    </row>
    <row r="168" spans="1:8" ht="13" x14ac:dyDescent="0.35">
      <c r="A168" s="239" t="s">
        <v>241</v>
      </c>
      <c r="B168" s="239"/>
      <c r="C168" s="9" t="str">
        <f>IF(F142="","",IF(G147="Yes",0,IF(G146="NO",0,IF(G148="NO",0,IF(G149="NO",0,IF(G150&gt;150,0,IF(G151&gt;75,0,IF(G152&gt;10,0,IF(G154&gt;2,0,IF(E165&lt;E164,0,F142))))))))))</f>
        <v/>
      </c>
      <c r="D168" s="310" t="s">
        <v>2</v>
      </c>
      <c r="E168" s="311"/>
      <c r="F168" s="311"/>
      <c r="G168" s="311"/>
      <c r="H168" s="312"/>
    </row>
    <row r="169" spans="1:8" ht="13" x14ac:dyDescent="0.35">
      <c r="A169" s="16" t="s">
        <v>56</v>
      </c>
      <c r="B169" s="225" t="str">
        <f>IF('STEP 2-WQv Calculation'!$B$4="","",'STEP 2-WQv Calculation'!$B$4)</f>
        <v/>
      </c>
    </row>
    <row r="170" spans="1:8" ht="13" x14ac:dyDescent="0.35">
      <c r="A170" s="309" t="s">
        <v>243</v>
      </c>
      <c r="B170" s="309"/>
      <c r="C170" s="309"/>
      <c r="D170" s="309"/>
      <c r="E170" s="309"/>
      <c r="F170" s="309"/>
      <c r="G170" s="309"/>
      <c r="H170" s="309"/>
    </row>
    <row r="171" spans="1:8" ht="38.5" x14ac:dyDescent="0.35">
      <c r="A171" s="204" t="s">
        <v>60</v>
      </c>
      <c r="B171" s="205" t="s">
        <v>61</v>
      </c>
      <c r="C171" s="205" t="s">
        <v>62</v>
      </c>
      <c r="D171" s="205" t="s">
        <v>63</v>
      </c>
      <c r="E171" s="205" t="s">
        <v>64</v>
      </c>
      <c r="F171" s="205" t="s">
        <v>65</v>
      </c>
      <c r="G171" s="205" t="s">
        <v>244</v>
      </c>
      <c r="H171" s="206" t="s">
        <v>13</v>
      </c>
    </row>
    <row r="172" spans="1:8" x14ac:dyDescent="0.35">
      <c r="A172" s="17"/>
      <c r="B172" s="18" t="str">
        <f>IF($A172="","",(LOOKUP($A172,'STEP 2-WQv Calculation'!$A$8:$A$37,'STEP 2-WQv Calculation'!$B$8:$B$37)))</f>
        <v/>
      </c>
      <c r="C172" s="18" t="str">
        <f>IF($A172="","",(LOOKUP($A172,'STEP 2-WQv Calculation'!$A$8:$A$37,'STEP 2-WQv Calculation'!$C$8:$C$37)))</f>
        <v/>
      </c>
      <c r="D172" s="53" t="str">
        <f>IF($A172="","",(LOOKUP($A172,'STEP 2-WQv Calculation'!$A$8:$A$37,'STEP 2-WQv Calculation'!$D$8:$D$37)))</f>
        <v/>
      </c>
      <c r="E172" s="18" t="str">
        <f>IF($A172="","",(LOOKUP($A172,'STEP 2-WQv Calculation'!$A$8:$A$37,'STEP 2-WQv Calculation'!$E$8:$E$37)))</f>
        <v/>
      </c>
      <c r="F172" s="42" t="str">
        <f>IF($A172="","",(LOOKUP($A172,'STEP 2-WQv Calculation'!$A$8:$A$37,'STEP 2-WQv Calculation'!$F$8:$F$37)))</f>
        <v/>
      </c>
      <c r="G172" s="18">
        <f>'STEP 2-WQv Calculation'!B61</f>
        <v>0</v>
      </c>
      <c r="H172" s="29" t="str">
        <f>IF($A172="","",(LOOKUP($A172,'STEP 2-WQv Calculation'!$A$8:$A$37,'STEP 2-WQv Calculation'!$G$8:$G$37)))</f>
        <v/>
      </c>
    </row>
    <row r="173" spans="1:8" ht="13" x14ac:dyDescent="0.35">
      <c r="A173" s="241" t="s">
        <v>226</v>
      </c>
      <c r="B173" s="241"/>
      <c r="C173" s="241"/>
      <c r="D173" s="241"/>
      <c r="E173" s="241"/>
      <c r="F173" s="241"/>
      <c r="G173" s="241"/>
      <c r="H173" s="241"/>
    </row>
    <row r="174" spans="1:8" x14ac:dyDescent="0.35">
      <c r="A174" s="245" t="s">
        <v>246</v>
      </c>
      <c r="B174" s="245"/>
      <c r="C174" s="245"/>
      <c r="D174" s="245"/>
      <c r="E174" s="245"/>
      <c r="F174" s="245"/>
      <c r="G174" s="218"/>
      <c r="H174" s="219" t="str">
        <f>IF(G174="NO","Does not meet design criteria","")</f>
        <v/>
      </c>
    </row>
    <row r="175" spans="1:8" ht="50" x14ac:dyDescent="0.35">
      <c r="A175" s="245" t="s">
        <v>247</v>
      </c>
      <c r="B175" s="245"/>
      <c r="C175" s="245"/>
      <c r="D175" s="245"/>
      <c r="E175" s="245"/>
      <c r="F175" s="245"/>
      <c r="G175" s="218"/>
      <c r="H175" s="224" t="str">
        <f>IF(G175="","This practice cannot be used for hotspot treatment",IF(G175="Yes","Does not meet design criteria",""))</f>
        <v>This practice cannot be used for hotspot treatment</v>
      </c>
    </row>
    <row r="176" spans="1:8" x14ac:dyDescent="0.35">
      <c r="A176" s="245" t="s">
        <v>249</v>
      </c>
      <c r="B176" s="245"/>
      <c r="C176" s="245"/>
      <c r="D176" s="245"/>
      <c r="E176" s="245"/>
      <c r="F176" s="245"/>
      <c r="G176" s="218"/>
      <c r="H176" s="219" t="str">
        <f>IF(G176="NO","Does not meet design criteria","")</f>
        <v/>
      </c>
    </row>
    <row r="177" spans="1:8" x14ac:dyDescent="0.35">
      <c r="A177" s="245" t="s">
        <v>250</v>
      </c>
      <c r="B177" s="245"/>
      <c r="C177" s="245"/>
      <c r="D177" s="245"/>
      <c r="E177" s="245"/>
      <c r="F177" s="245"/>
      <c r="G177" s="218"/>
      <c r="H177" s="219" t="str">
        <f>IF(G177="NO","Does not meet design criteria","")</f>
        <v/>
      </c>
    </row>
    <row r="178" spans="1:8" x14ac:dyDescent="0.35">
      <c r="A178" s="242" t="s">
        <v>251</v>
      </c>
      <c r="B178" s="243"/>
      <c r="C178" s="243"/>
      <c r="D178" s="243"/>
      <c r="E178" s="243"/>
      <c r="F178" s="244"/>
      <c r="G178" s="210"/>
      <c r="H178" s="219" t="str">
        <f>IF(G178&gt;150,"Does not meet design criteria","")</f>
        <v/>
      </c>
    </row>
    <row r="179" spans="1:8" x14ac:dyDescent="0.35">
      <c r="A179" s="242" t="s">
        <v>252</v>
      </c>
      <c r="B179" s="243"/>
      <c r="C179" s="243"/>
      <c r="D179" s="243"/>
      <c r="E179" s="243"/>
      <c r="F179" s="244"/>
      <c r="G179" s="210"/>
      <c r="H179" s="219" t="str">
        <f>IF(G179&gt;75,"Does not meet design criteria","")</f>
        <v/>
      </c>
    </row>
    <row r="180" spans="1:8" x14ac:dyDescent="0.35">
      <c r="A180" s="242" t="s">
        <v>253</v>
      </c>
      <c r="B180" s="243"/>
      <c r="C180" s="243"/>
      <c r="D180" s="243"/>
      <c r="E180" s="243"/>
      <c r="F180" s="244"/>
      <c r="G180" s="210"/>
      <c r="H180" s="219" t="str">
        <f>IF(G180&gt;10,"Does not meet design criteria","")</f>
        <v/>
      </c>
    </row>
    <row r="181" spans="1:8" x14ac:dyDescent="0.35">
      <c r="A181" s="242" t="s">
        <v>254</v>
      </c>
      <c r="B181" s="243"/>
      <c r="C181" s="243"/>
      <c r="D181" s="243"/>
      <c r="E181" s="243"/>
      <c r="F181" s="244"/>
      <c r="G181" s="212">
        <f>IF(G180&lt;=5,35,IF(G180&lt;=10,60,IF(G180&gt;10,"")))</f>
        <v>35</v>
      </c>
      <c r="H181" s="219" t="str">
        <f>IF(G180&gt;10,"Does not meet design criteria","")</f>
        <v/>
      </c>
    </row>
    <row r="182" spans="1:8" x14ac:dyDescent="0.35">
      <c r="A182" s="242" t="s">
        <v>255</v>
      </c>
      <c r="B182" s="243"/>
      <c r="C182" s="243"/>
      <c r="D182" s="243"/>
      <c r="E182" s="243"/>
      <c r="F182" s="244"/>
      <c r="G182" s="210"/>
      <c r="H182" s="219" t="str">
        <f>IF(G182&gt;2,"Does not meet design criteria","")</f>
        <v/>
      </c>
    </row>
    <row r="183" spans="1:8" ht="13" x14ac:dyDescent="0.3">
      <c r="A183" s="246" t="s">
        <v>232</v>
      </c>
      <c r="B183" s="247"/>
      <c r="C183" s="247"/>
      <c r="D183" s="247"/>
      <c r="E183" s="247"/>
      <c r="F183" s="247"/>
      <c r="G183" s="247"/>
      <c r="H183" s="247"/>
    </row>
    <row r="184" spans="1:8" ht="13" x14ac:dyDescent="0.35">
      <c r="A184" s="35"/>
      <c r="B184" s="36"/>
      <c r="C184" s="36"/>
      <c r="D184" s="37"/>
      <c r="E184" s="302" t="s">
        <v>256</v>
      </c>
      <c r="F184" s="302"/>
      <c r="G184" s="38" t="s">
        <v>257</v>
      </c>
      <c r="H184" s="38" t="s">
        <v>258</v>
      </c>
    </row>
    <row r="185" spans="1:8" ht="13" x14ac:dyDescent="0.35">
      <c r="A185" s="289" t="s">
        <v>259</v>
      </c>
      <c r="B185" s="289"/>
      <c r="C185" s="289"/>
      <c r="D185" s="133" t="s">
        <v>260</v>
      </c>
      <c r="E185" s="303"/>
      <c r="F185" s="304"/>
      <c r="G185" s="193" t="s">
        <v>261</v>
      </c>
      <c r="H185" s="219" t="str">
        <f>IF(E185="","",IF(E185&lt;6,"Does not meet design criteria",""))</f>
        <v/>
      </c>
    </row>
    <row r="186" spans="1:8" ht="13" x14ac:dyDescent="0.35">
      <c r="A186" s="289" t="s">
        <v>262</v>
      </c>
      <c r="B186" s="289"/>
      <c r="C186" s="289"/>
      <c r="D186" s="133" t="s">
        <v>263</v>
      </c>
      <c r="E186" s="306"/>
      <c r="F186" s="307"/>
      <c r="G186" s="193" t="s">
        <v>264</v>
      </c>
      <c r="H186" s="219"/>
    </row>
    <row r="187" spans="1:8" ht="13" x14ac:dyDescent="0.35">
      <c r="A187" s="266" t="s">
        <v>265</v>
      </c>
      <c r="B187" s="267"/>
      <c r="C187" s="268"/>
      <c r="D187" s="133" t="s">
        <v>214</v>
      </c>
      <c r="E187" s="306"/>
      <c r="F187" s="307"/>
      <c r="G187" s="193" t="s">
        <v>266</v>
      </c>
      <c r="H187" s="219" t="str">
        <f>IF(E187&gt;0.08,"Does not meet design criteria","")</f>
        <v/>
      </c>
    </row>
    <row r="188" spans="1:8" ht="13" x14ac:dyDescent="0.35">
      <c r="A188" s="289" t="s">
        <v>267</v>
      </c>
      <c r="B188" s="289"/>
      <c r="C188" s="289"/>
      <c r="D188" s="133" t="s">
        <v>268</v>
      </c>
      <c r="E188" s="306"/>
      <c r="F188" s="307"/>
      <c r="G188" s="193"/>
      <c r="H188" s="219"/>
    </row>
    <row r="189" spans="1:8" ht="13" x14ac:dyDescent="0.35">
      <c r="A189" s="266" t="s">
        <v>269</v>
      </c>
      <c r="B189" s="267"/>
      <c r="C189" s="268"/>
      <c r="D189" s="133" t="s">
        <v>270</v>
      </c>
      <c r="E189" s="308" t="e">
        <f>ROUND(((E185^1.25)*(E186^0.625)*(E187^0.5))/(0.338*E188),0)</f>
        <v>#DIV/0!</v>
      </c>
      <c r="F189" s="308"/>
      <c r="G189" s="193" t="s">
        <v>271</v>
      </c>
      <c r="H189" s="219"/>
    </row>
    <row r="190" spans="1:8" ht="13" x14ac:dyDescent="0.35">
      <c r="A190" s="266" t="s">
        <v>272</v>
      </c>
      <c r="B190" s="267"/>
      <c r="C190" s="268"/>
      <c r="D190" s="133" t="s">
        <v>270</v>
      </c>
      <c r="E190" s="308" t="e">
        <f>ROUND(IF(E189&gt;G181,E189,IF(E189&lt;G181,G181)),0)</f>
        <v>#DIV/0!</v>
      </c>
      <c r="F190" s="308"/>
      <c r="G190" s="193" t="s">
        <v>271</v>
      </c>
      <c r="H190" s="219"/>
    </row>
    <row r="191" spans="1:8" x14ac:dyDescent="0.35">
      <c r="A191" s="266" t="s">
        <v>273</v>
      </c>
      <c r="B191" s="267"/>
      <c r="C191" s="267"/>
      <c r="D191" s="268"/>
      <c r="E191" s="306"/>
      <c r="F191" s="307"/>
      <c r="G191" s="266"/>
      <c r="H191" s="268"/>
    </row>
    <row r="192" spans="1:8" ht="13" x14ac:dyDescent="0.35">
      <c r="A192" s="266" t="s">
        <v>274</v>
      </c>
      <c r="B192" s="267"/>
      <c r="C192" s="268"/>
      <c r="D192" s="133" t="s">
        <v>270</v>
      </c>
      <c r="E192" s="308" t="e">
        <f>ROUND(IF(E191="YES",E190*1.15,E190),0)</f>
        <v>#DIV/0!</v>
      </c>
      <c r="F192" s="308"/>
      <c r="G192" s="193" t="s">
        <v>271</v>
      </c>
      <c r="H192" s="219"/>
    </row>
    <row r="193" spans="1:8" ht="13" x14ac:dyDescent="0.35">
      <c r="A193" s="266" t="s">
        <v>275</v>
      </c>
      <c r="B193" s="267"/>
      <c r="C193" s="268"/>
      <c r="D193" s="133" t="s">
        <v>270</v>
      </c>
      <c r="E193" s="305"/>
      <c r="F193" s="305"/>
      <c r="G193" s="193" t="s">
        <v>271</v>
      </c>
      <c r="H193" s="219" t="str">
        <f>IF(E193="","",IF(E189&gt;E192,"Does not meet design criteria",""))</f>
        <v/>
      </c>
    </row>
    <row r="194" spans="1:8" x14ac:dyDescent="0.35">
      <c r="A194" s="313"/>
      <c r="B194" s="313"/>
      <c r="C194" s="313"/>
      <c r="D194" s="313"/>
      <c r="E194" s="313"/>
      <c r="F194" s="313"/>
      <c r="G194" s="313"/>
      <c r="H194" s="313"/>
    </row>
    <row r="195" spans="1:8" ht="13" x14ac:dyDescent="0.35">
      <c r="A195" s="236" t="s">
        <v>276</v>
      </c>
      <c r="B195" s="237"/>
      <c r="C195" s="237"/>
      <c r="D195" s="237"/>
      <c r="E195" s="237"/>
      <c r="F195" s="237"/>
      <c r="G195" s="237"/>
      <c r="H195" s="238"/>
    </row>
    <row r="196" spans="1:8" ht="13" x14ac:dyDescent="0.35">
      <c r="A196" s="239" t="s">
        <v>241</v>
      </c>
      <c r="B196" s="239"/>
      <c r="C196" s="9" t="str">
        <f>IF(F170="","",IF(G175="Yes",0,IF(G174="NO",0,IF(G176="NO",0,IF(G177="NO",0,IF(G178&gt;150,0,IF(G179&gt;75,0,IF(G180&gt;10,0,IF(G182&gt;2,0,IF(E193&lt;E192,0,F170))))))))))</f>
        <v/>
      </c>
      <c r="D196" s="310" t="s">
        <v>2</v>
      </c>
      <c r="E196" s="311"/>
      <c r="F196" s="311"/>
      <c r="G196" s="311"/>
      <c r="H196" s="312"/>
    </row>
    <row r="197" spans="1:8" ht="13" x14ac:dyDescent="0.35">
      <c r="A197" s="16" t="s">
        <v>56</v>
      </c>
      <c r="B197" s="225" t="str">
        <f>IF('STEP 2-WQv Calculation'!$B$4="","",'STEP 2-WQv Calculation'!$B$4)</f>
        <v/>
      </c>
    </row>
    <row r="198" spans="1:8" ht="13" x14ac:dyDescent="0.35">
      <c r="A198" s="309" t="s">
        <v>243</v>
      </c>
      <c r="B198" s="309"/>
      <c r="C198" s="309"/>
      <c r="D198" s="309"/>
      <c r="E198" s="309"/>
      <c r="F198" s="309"/>
      <c r="G198" s="309"/>
      <c r="H198" s="309"/>
    </row>
    <row r="199" spans="1:8" ht="38.5" x14ac:dyDescent="0.35">
      <c r="A199" s="204" t="s">
        <v>60</v>
      </c>
      <c r="B199" s="205" t="s">
        <v>61</v>
      </c>
      <c r="C199" s="205" t="s">
        <v>62</v>
      </c>
      <c r="D199" s="205" t="s">
        <v>63</v>
      </c>
      <c r="E199" s="205" t="s">
        <v>64</v>
      </c>
      <c r="F199" s="205" t="s">
        <v>65</v>
      </c>
      <c r="G199" s="205" t="s">
        <v>244</v>
      </c>
      <c r="H199" s="206" t="s">
        <v>13</v>
      </c>
    </row>
    <row r="200" spans="1:8" x14ac:dyDescent="0.35">
      <c r="A200" s="17"/>
      <c r="B200" s="18" t="str">
        <f>IF($A200="","",(LOOKUP($A200,'STEP 2-WQv Calculation'!$A$8:$A$37,'STEP 2-WQv Calculation'!$B$8:$B$37)))</f>
        <v/>
      </c>
      <c r="C200" s="18" t="str">
        <f>IF($A200="","",(LOOKUP($A200,'STEP 2-WQv Calculation'!$A$8:$A$37,'STEP 2-WQv Calculation'!$C$8:$C$37)))</f>
        <v/>
      </c>
      <c r="D200" s="53" t="str">
        <f>IF($A200="","",(LOOKUP($A200,'STEP 2-WQv Calculation'!$A$8:$A$37,'STEP 2-WQv Calculation'!$D$8:$D$37)))</f>
        <v/>
      </c>
      <c r="E200" s="18" t="str">
        <f>IF($A200="","",(LOOKUP($A200,'STEP 2-WQv Calculation'!$A$8:$A$37,'STEP 2-WQv Calculation'!$E$8:$E$37)))</f>
        <v/>
      </c>
      <c r="F200" s="42" t="str">
        <f>IF($A200="","",(LOOKUP($A200,'STEP 2-WQv Calculation'!$A$8:$A$37,'STEP 2-WQv Calculation'!$F$8:$F$37)))</f>
        <v/>
      </c>
      <c r="G200" s="18">
        <f>'STEP 2-WQv Calculation'!B89</f>
        <v>0</v>
      </c>
      <c r="H200" s="29" t="str">
        <f>IF($A200="","",(LOOKUP($A200,'STEP 2-WQv Calculation'!$A$8:$A$37,'STEP 2-WQv Calculation'!$G$8:$G$37)))</f>
        <v/>
      </c>
    </row>
    <row r="201" spans="1:8" ht="13" x14ac:dyDescent="0.35">
      <c r="A201" s="241" t="s">
        <v>226</v>
      </c>
      <c r="B201" s="241"/>
      <c r="C201" s="241"/>
      <c r="D201" s="241"/>
      <c r="E201" s="241"/>
      <c r="F201" s="241"/>
      <c r="G201" s="241"/>
      <c r="H201" s="241"/>
    </row>
    <row r="202" spans="1:8" x14ac:dyDescent="0.35">
      <c r="A202" s="245" t="s">
        <v>246</v>
      </c>
      <c r="B202" s="245"/>
      <c r="C202" s="245"/>
      <c r="D202" s="245"/>
      <c r="E202" s="245"/>
      <c r="F202" s="245"/>
      <c r="G202" s="218"/>
      <c r="H202" s="219" t="str">
        <f>IF(G202="NO","Does not meet design criteria","")</f>
        <v/>
      </c>
    </row>
    <row r="203" spans="1:8" ht="50" x14ac:dyDescent="0.35">
      <c r="A203" s="245" t="s">
        <v>247</v>
      </c>
      <c r="B203" s="245"/>
      <c r="C203" s="245"/>
      <c r="D203" s="245"/>
      <c r="E203" s="245"/>
      <c r="F203" s="245"/>
      <c r="G203" s="218"/>
      <c r="H203" s="224" t="str">
        <f>IF(G203="","This practice cannot be used for hotspot treatment",IF(G203="Yes","Does not meet design criteria",""))</f>
        <v>This practice cannot be used for hotspot treatment</v>
      </c>
    </row>
    <row r="204" spans="1:8" x14ac:dyDescent="0.35">
      <c r="A204" s="245" t="s">
        <v>249</v>
      </c>
      <c r="B204" s="245"/>
      <c r="C204" s="245"/>
      <c r="D204" s="245"/>
      <c r="E204" s="245"/>
      <c r="F204" s="245"/>
      <c r="G204" s="218"/>
      <c r="H204" s="219" t="str">
        <f>IF(G204="NO","Does not meet design criteria","")</f>
        <v/>
      </c>
    </row>
    <row r="205" spans="1:8" x14ac:dyDescent="0.35">
      <c r="A205" s="245" t="s">
        <v>250</v>
      </c>
      <c r="B205" s="245"/>
      <c r="C205" s="245"/>
      <c r="D205" s="245"/>
      <c r="E205" s="245"/>
      <c r="F205" s="245"/>
      <c r="G205" s="218"/>
      <c r="H205" s="219" t="str">
        <f>IF(G205="NO","Does not meet design criteria","")</f>
        <v/>
      </c>
    </row>
    <row r="206" spans="1:8" x14ac:dyDescent="0.35">
      <c r="A206" s="242" t="s">
        <v>251</v>
      </c>
      <c r="B206" s="243"/>
      <c r="C206" s="243"/>
      <c r="D206" s="243"/>
      <c r="E206" s="243"/>
      <c r="F206" s="244"/>
      <c r="G206" s="210"/>
      <c r="H206" s="219" t="str">
        <f>IF(G206&gt;150,"Does not meet design criteria","")</f>
        <v/>
      </c>
    </row>
    <row r="207" spans="1:8" x14ac:dyDescent="0.35">
      <c r="A207" s="242" t="s">
        <v>252</v>
      </c>
      <c r="B207" s="243"/>
      <c r="C207" s="243"/>
      <c r="D207" s="243"/>
      <c r="E207" s="243"/>
      <c r="F207" s="244"/>
      <c r="G207" s="210"/>
      <c r="H207" s="219" t="str">
        <f>IF(G207&gt;75,"Does not meet design criteria","")</f>
        <v/>
      </c>
    </row>
    <row r="208" spans="1:8" x14ac:dyDescent="0.35">
      <c r="A208" s="242" t="s">
        <v>253</v>
      </c>
      <c r="B208" s="243"/>
      <c r="C208" s="243"/>
      <c r="D208" s="243"/>
      <c r="E208" s="243"/>
      <c r="F208" s="244"/>
      <c r="G208" s="210"/>
      <c r="H208" s="219" t="str">
        <f>IF(G208&gt;10,"Does not meet design criteria","")</f>
        <v/>
      </c>
    </row>
    <row r="209" spans="1:8" x14ac:dyDescent="0.35">
      <c r="A209" s="242" t="s">
        <v>254</v>
      </c>
      <c r="B209" s="243"/>
      <c r="C209" s="243"/>
      <c r="D209" s="243"/>
      <c r="E209" s="243"/>
      <c r="F209" s="244"/>
      <c r="G209" s="212">
        <f>IF(G208&lt;=5,35,IF(G208&lt;=10,60,IF(G208&gt;10,"")))</f>
        <v>35</v>
      </c>
      <c r="H209" s="219" t="str">
        <f>IF(G208&gt;10,"Does not meet design criteria","")</f>
        <v/>
      </c>
    </row>
    <row r="210" spans="1:8" x14ac:dyDescent="0.35">
      <c r="A210" s="242" t="s">
        <v>255</v>
      </c>
      <c r="B210" s="243"/>
      <c r="C210" s="243"/>
      <c r="D210" s="243"/>
      <c r="E210" s="243"/>
      <c r="F210" s="244"/>
      <c r="G210" s="210"/>
      <c r="H210" s="219" t="str">
        <f>IF(G210&gt;2,"Does not meet design criteria","")</f>
        <v/>
      </c>
    </row>
    <row r="211" spans="1:8" ht="13" x14ac:dyDescent="0.3">
      <c r="A211" s="246" t="s">
        <v>232</v>
      </c>
      <c r="B211" s="247"/>
      <c r="C211" s="247"/>
      <c r="D211" s="247"/>
      <c r="E211" s="247"/>
      <c r="F211" s="247"/>
      <c r="G211" s="247"/>
      <c r="H211" s="247"/>
    </row>
    <row r="212" spans="1:8" ht="13" x14ac:dyDescent="0.35">
      <c r="A212" s="35"/>
      <c r="B212" s="36"/>
      <c r="C212" s="36"/>
      <c r="D212" s="37"/>
      <c r="E212" s="302" t="s">
        <v>256</v>
      </c>
      <c r="F212" s="302"/>
      <c r="G212" s="38" t="s">
        <v>257</v>
      </c>
      <c r="H212" s="38" t="s">
        <v>258</v>
      </c>
    </row>
    <row r="213" spans="1:8" ht="13" x14ac:dyDescent="0.35">
      <c r="A213" s="289" t="s">
        <v>259</v>
      </c>
      <c r="B213" s="289"/>
      <c r="C213" s="289"/>
      <c r="D213" s="133" t="s">
        <v>260</v>
      </c>
      <c r="E213" s="303"/>
      <c r="F213" s="304"/>
      <c r="G213" s="193" t="s">
        <v>261</v>
      </c>
      <c r="H213" s="219" t="str">
        <f>IF(E213="","",IF(E213&lt;6,"Does not meet design criteria",""))</f>
        <v/>
      </c>
    </row>
    <row r="214" spans="1:8" ht="13" x14ac:dyDescent="0.35">
      <c r="A214" s="289" t="s">
        <v>262</v>
      </c>
      <c r="B214" s="289"/>
      <c r="C214" s="289"/>
      <c r="D214" s="133" t="s">
        <v>263</v>
      </c>
      <c r="E214" s="306"/>
      <c r="F214" s="307"/>
      <c r="G214" s="193" t="s">
        <v>264</v>
      </c>
      <c r="H214" s="219"/>
    </row>
    <row r="215" spans="1:8" ht="13" x14ac:dyDescent="0.35">
      <c r="A215" s="266" t="s">
        <v>265</v>
      </c>
      <c r="B215" s="267"/>
      <c r="C215" s="268"/>
      <c r="D215" s="133" t="s">
        <v>214</v>
      </c>
      <c r="E215" s="306"/>
      <c r="F215" s="307"/>
      <c r="G215" s="193" t="s">
        <v>266</v>
      </c>
      <c r="H215" s="219" t="str">
        <f>IF(E215&gt;0.08,"Does not meet design criteria","")</f>
        <v/>
      </c>
    </row>
    <row r="216" spans="1:8" ht="13" x14ac:dyDescent="0.35">
      <c r="A216" s="289" t="s">
        <v>267</v>
      </c>
      <c r="B216" s="289"/>
      <c r="C216" s="289"/>
      <c r="D216" s="133" t="s">
        <v>268</v>
      </c>
      <c r="E216" s="306"/>
      <c r="F216" s="307"/>
      <c r="G216" s="193"/>
      <c r="H216" s="219"/>
    </row>
    <row r="217" spans="1:8" ht="13" x14ac:dyDescent="0.35">
      <c r="A217" s="266" t="s">
        <v>269</v>
      </c>
      <c r="B217" s="267"/>
      <c r="C217" s="268"/>
      <c r="D217" s="133" t="s">
        <v>270</v>
      </c>
      <c r="E217" s="308" t="e">
        <f>ROUND(((E213^1.25)*(E214^0.625)*(E215^0.5))/(0.338*E216),0)</f>
        <v>#DIV/0!</v>
      </c>
      <c r="F217" s="308"/>
      <c r="G217" s="193" t="s">
        <v>271</v>
      </c>
      <c r="H217" s="219"/>
    </row>
    <row r="218" spans="1:8" ht="13" x14ac:dyDescent="0.35">
      <c r="A218" s="266" t="s">
        <v>272</v>
      </c>
      <c r="B218" s="267"/>
      <c r="C218" s="268"/>
      <c r="D218" s="133" t="s">
        <v>270</v>
      </c>
      <c r="E218" s="308" t="e">
        <f>ROUND(IF(E217&gt;G209,E217,IF(E217&lt;G209,G209)),0)</f>
        <v>#DIV/0!</v>
      </c>
      <c r="F218" s="308"/>
      <c r="G218" s="193" t="s">
        <v>271</v>
      </c>
      <c r="H218" s="219"/>
    </row>
    <row r="219" spans="1:8" x14ac:dyDescent="0.35">
      <c r="A219" s="266" t="s">
        <v>273</v>
      </c>
      <c r="B219" s="267"/>
      <c r="C219" s="267"/>
      <c r="D219" s="268"/>
      <c r="E219" s="306"/>
      <c r="F219" s="307"/>
      <c r="G219" s="266"/>
      <c r="H219" s="268"/>
    </row>
    <row r="220" spans="1:8" ht="13" x14ac:dyDescent="0.35">
      <c r="A220" s="266" t="s">
        <v>274</v>
      </c>
      <c r="B220" s="267"/>
      <c r="C220" s="268"/>
      <c r="D220" s="133" t="s">
        <v>270</v>
      </c>
      <c r="E220" s="308" t="e">
        <f>ROUND(IF(E219="YES",E218*1.15,E218),0)</f>
        <v>#DIV/0!</v>
      </c>
      <c r="F220" s="308"/>
      <c r="G220" s="193" t="s">
        <v>271</v>
      </c>
      <c r="H220" s="219"/>
    </row>
    <row r="221" spans="1:8" ht="13" x14ac:dyDescent="0.35">
      <c r="A221" s="266" t="s">
        <v>275</v>
      </c>
      <c r="B221" s="267"/>
      <c r="C221" s="268"/>
      <c r="D221" s="133" t="s">
        <v>270</v>
      </c>
      <c r="E221" s="305"/>
      <c r="F221" s="305"/>
      <c r="G221" s="193" t="s">
        <v>271</v>
      </c>
      <c r="H221" s="219" t="str">
        <f>IF(E221="","",IF(E217&gt;E220,"Does not meet design criteria",""))</f>
        <v/>
      </c>
    </row>
    <row r="222" spans="1:8" x14ac:dyDescent="0.35">
      <c r="A222" s="313"/>
      <c r="B222" s="313"/>
      <c r="C222" s="313"/>
      <c r="D222" s="313"/>
      <c r="E222" s="313"/>
      <c r="F222" s="313"/>
      <c r="G222" s="313"/>
      <c r="H222" s="313"/>
    </row>
    <row r="223" spans="1:8" ht="13" x14ac:dyDescent="0.35">
      <c r="A223" s="236" t="s">
        <v>276</v>
      </c>
      <c r="B223" s="237"/>
      <c r="C223" s="237"/>
      <c r="D223" s="237"/>
      <c r="E223" s="237"/>
      <c r="F223" s="237"/>
      <c r="G223" s="237"/>
      <c r="H223" s="238"/>
    </row>
    <row r="224" spans="1:8" ht="13" x14ac:dyDescent="0.35">
      <c r="A224" s="239" t="s">
        <v>241</v>
      </c>
      <c r="B224" s="239"/>
      <c r="C224" s="9" t="str">
        <f>IF(F198="","",IF(G203="Yes",0,IF(G202="NO",0,IF(G204="NO",0,IF(G205="NO",0,IF(G206&gt;150,0,IF(G207&gt;75,0,IF(G208&gt;10,0,IF(G210&gt;2,0,IF(E221&lt;E220,0,F198))))))))))</f>
        <v/>
      </c>
      <c r="D224" s="310" t="s">
        <v>2</v>
      </c>
      <c r="E224" s="311"/>
      <c r="F224" s="311"/>
      <c r="G224" s="311"/>
      <c r="H224" s="312"/>
    </row>
    <row r="225" spans="1:8" ht="13" x14ac:dyDescent="0.35">
      <c r="A225" s="16" t="s">
        <v>56</v>
      </c>
      <c r="B225" s="225" t="str">
        <f>IF('STEP 2-WQv Calculation'!$B$4="","",'STEP 2-WQv Calculation'!$B$4)</f>
        <v/>
      </c>
    </row>
    <row r="226" spans="1:8" ht="13" x14ac:dyDescent="0.35">
      <c r="A226" s="309" t="s">
        <v>243</v>
      </c>
      <c r="B226" s="309"/>
      <c r="C226" s="309"/>
      <c r="D226" s="309"/>
      <c r="E226" s="309"/>
      <c r="F226" s="309"/>
      <c r="G226" s="309"/>
      <c r="H226" s="309"/>
    </row>
    <row r="227" spans="1:8" ht="38.5" x14ac:dyDescent="0.35">
      <c r="A227" s="204" t="s">
        <v>60</v>
      </c>
      <c r="B227" s="205" t="s">
        <v>61</v>
      </c>
      <c r="C227" s="205" t="s">
        <v>62</v>
      </c>
      <c r="D227" s="205" t="s">
        <v>63</v>
      </c>
      <c r="E227" s="205" t="s">
        <v>64</v>
      </c>
      <c r="F227" s="205" t="s">
        <v>65</v>
      </c>
      <c r="G227" s="205" t="s">
        <v>244</v>
      </c>
      <c r="H227" s="206" t="s">
        <v>13</v>
      </c>
    </row>
    <row r="228" spans="1:8" x14ac:dyDescent="0.35">
      <c r="A228" s="17"/>
      <c r="B228" s="18" t="str">
        <f>IF($A228="","",(LOOKUP($A228,'STEP 2-WQv Calculation'!$A$8:$A$37,'STEP 2-WQv Calculation'!$B$8:$B$37)))</f>
        <v/>
      </c>
      <c r="C228" s="18" t="str">
        <f>IF($A228="","",(LOOKUP($A228,'STEP 2-WQv Calculation'!$A$8:$A$37,'STEP 2-WQv Calculation'!$C$8:$C$37)))</f>
        <v/>
      </c>
      <c r="D228" s="53" t="str">
        <f>IF($A228="","",(LOOKUP($A228,'STEP 2-WQv Calculation'!$A$8:$A$37,'STEP 2-WQv Calculation'!$D$8:$D$37)))</f>
        <v/>
      </c>
      <c r="E228" s="18" t="str">
        <f>IF($A228="","",(LOOKUP($A228,'STEP 2-WQv Calculation'!$A$8:$A$37,'STEP 2-WQv Calculation'!$E$8:$E$37)))</f>
        <v/>
      </c>
      <c r="F228" s="42" t="str">
        <f>IF($A228="","",(LOOKUP($A228,'STEP 2-WQv Calculation'!$A$8:$A$37,'STEP 2-WQv Calculation'!$F$8:$F$37)))</f>
        <v/>
      </c>
      <c r="G228" s="18">
        <f>'STEP 2-WQv Calculation'!B117</f>
        <v>0</v>
      </c>
      <c r="H228" s="29" t="str">
        <f>IF($A228="","",(LOOKUP($A228,'STEP 2-WQv Calculation'!$A$8:$A$37,'STEP 2-WQv Calculation'!$G$8:$G$37)))</f>
        <v/>
      </c>
    </row>
    <row r="229" spans="1:8" ht="13" x14ac:dyDescent="0.35">
      <c r="A229" s="241" t="s">
        <v>226</v>
      </c>
      <c r="B229" s="241"/>
      <c r="C229" s="241"/>
      <c r="D229" s="241"/>
      <c r="E229" s="241"/>
      <c r="F229" s="241"/>
      <c r="G229" s="241"/>
      <c r="H229" s="241"/>
    </row>
    <row r="230" spans="1:8" x14ac:dyDescent="0.35">
      <c r="A230" s="245" t="s">
        <v>246</v>
      </c>
      <c r="B230" s="245"/>
      <c r="C230" s="245"/>
      <c r="D230" s="245"/>
      <c r="E230" s="245"/>
      <c r="F230" s="245"/>
      <c r="G230" s="218"/>
      <c r="H230" s="219" t="str">
        <f>IF(G230="NO","Does not meet design criteria","")</f>
        <v/>
      </c>
    </row>
    <row r="231" spans="1:8" ht="50" x14ac:dyDescent="0.35">
      <c r="A231" s="245" t="s">
        <v>247</v>
      </c>
      <c r="B231" s="245"/>
      <c r="C231" s="245"/>
      <c r="D231" s="245"/>
      <c r="E231" s="245"/>
      <c r="F231" s="245"/>
      <c r="G231" s="218"/>
      <c r="H231" s="224" t="str">
        <f>IF(G231="","This practice cannot be used for hotspot treatment",IF(G231="Yes","Does not meet design criteria",""))</f>
        <v>This practice cannot be used for hotspot treatment</v>
      </c>
    </row>
    <row r="232" spans="1:8" x14ac:dyDescent="0.35">
      <c r="A232" s="245" t="s">
        <v>249</v>
      </c>
      <c r="B232" s="245"/>
      <c r="C232" s="245"/>
      <c r="D232" s="245"/>
      <c r="E232" s="245"/>
      <c r="F232" s="245"/>
      <c r="G232" s="218"/>
      <c r="H232" s="219" t="str">
        <f>IF(G232="NO","Does not meet design criteria","")</f>
        <v/>
      </c>
    </row>
    <row r="233" spans="1:8" x14ac:dyDescent="0.35">
      <c r="A233" s="245" t="s">
        <v>250</v>
      </c>
      <c r="B233" s="245"/>
      <c r="C233" s="245"/>
      <c r="D233" s="245"/>
      <c r="E233" s="245"/>
      <c r="F233" s="245"/>
      <c r="G233" s="218"/>
      <c r="H233" s="219" t="str">
        <f>IF(G233="NO","Does not meet design criteria","")</f>
        <v/>
      </c>
    </row>
    <row r="234" spans="1:8" x14ac:dyDescent="0.35">
      <c r="A234" s="242" t="s">
        <v>251</v>
      </c>
      <c r="B234" s="243"/>
      <c r="C234" s="243"/>
      <c r="D234" s="243"/>
      <c r="E234" s="243"/>
      <c r="F234" s="244"/>
      <c r="G234" s="210"/>
      <c r="H234" s="219" t="str">
        <f>IF(G234&gt;150,"Does not meet design criteria","")</f>
        <v/>
      </c>
    </row>
    <row r="235" spans="1:8" x14ac:dyDescent="0.35">
      <c r="A235" s="242" t="s">
        <v>252</v>
      </c>
      <c r="B235" s="243"/>
      <c r="C235" s="243"/>
      <c r="D235" s="243"/>
      <c r="E235" s="243"/>
      <c r="F235" s="244"/>
      <c r="G235" s="210"/>
      <c r="H235" s="219" t="str">
        <f>IF(G235&gt;75,"Does not meet design criteria","")</f>
        <v/>
      </c>
    </row>
    <row r="236" spans="1:8" x14ac:dyDescent="0.35">
      <c r="A236" s="242" t="s">
        <v>253</v>
      </c>
      <c r="B236" s="243"/>
      <c r="C236" s="243"/>
      <c r="D236" s="243"/>
      <c r="E236" s="243"/>
      <c r="F236" s="244"/>
      <c r="G236" s="210"/>
      <c r="H236" s="219" t="str">
        <f>IF(G236&gt;10,"Does not meet design criteria","")</f>
        <v/>
      </c>
    </row>
    <row r="237" spans="1:8" x14ac:dyDescent="0.35">
      <c r="A237" s="242" t="s">
        <v>254</v>
      </c>
      <c r="B237" s="243"/>
      <c r="C237" s="243"/>
      <c r="D237" s="243"/>
      <c r="E237" s="243"/>
      <c r="F237" s="244"/>
      <c r="G237" s="212">
        <f>IF(G236&lt;=5,35,IF(G236&lt;=10,60,IF(G236&gt;10,"")))</f>
        <v>35</v>
      </c>
      <c r="H237" s="219" t="str">
        <f>IF(G236&gt;10,"Does not meet design criteria","")</f>
        <v/>
      </c>
    </row>
    <row r="238" spans="1:8" x14ac:dyDescent="0.35">
      <c r="A238" s="242" t="s">
        <v>255</v>
      </c>
      <c r="B238" s="243"/>
      <c r="C238" s="243"/>
      <c r="D238" s="243"/>
      <c r="E238" s="243"/>
      <c r="F238" s="244"/>
      <c r="G238" s="210"/>
      <c r="H238" s="219" t="str">
        <f>IF(G238&gt;2,"Does not meet design criteria","")</f>
        <v/>
      </c>
    </row>
    <row r="239" spans="1:8" ht="13" x14ac:dyDescent="0.3">
      <c r="A239" s="246" t="s">
        <v>232</v>
      </c>
      <c r="B239" s="247"/>
      <c r="C239" s="247"/>
      <c r="D239" s="247"/>
      <c r="E239" s="247"/>
      <c r="F239" s="247"/>
      <c r="G239" s="247"/>
      <c r="H239" s="247"/>
    </row>
    <row r="240" spans="1:8" ht="13" x14ac:dyDescent="0.35">
      <c r="A240" s="35"/>
      <c r="B240" s="36"/>
      <c r="C240" s="36"/>
      <c r="D240" s="37"/>
      <c r="E240" s="302" t="s">
        <v>256</v>
      </c>
      <c r="F240" s="302"/>
      <c r="G240" s="38" t="s">
        <v>257</v>
      </c>
      <c r="H240" s="38" t="s">
        <v>258</v>
      </c>
    </row>
    <row r="241" spans="1:8" ht="13" x14ac:dyDescent="0.35">
      <c r="A241" s="289" t="s">
        <v>259</v>
      </c>
      <c r="B241" s="289"/>
      <c r="C241" s="289"/>
      <c r="D241" s="133" t="s">
        <v>260</v>
      </c>
      <c r="E241" s="303"/>
      <c r="F241" s="304"/>
      <c r="G241" s="193" t="s">
        <v>261</v>
      </c>
      <c r="H241" s="219" t="str">
        <f>IF(E241="","",IF(E241&lt;6,"Does not meet design criteria",""))</f>
        <v/>
      </c>
    </row>
    <row r="242" spans="1:8" ht="13" x14ac:dyDescent="0.35">
      <c r="A242" s="289" t="s">
        <v>262</v>
      </c>
      <c r="B242" s="289"/>
      <c r="C242" s="289"/>
      <c r="D242" s="133" t="s">
        <v>263</v>
      </c>
      <c r="E242" s="306"/>
      <c r="F242" s="307"/>
      <c r="G242" s="193" t="s">
        <v>264</v>
      </c>
      <c r="H242" s="219"/>
    </row>
    <row r="243" spans="1:8" ht="13" x14ac:dyDescent="0.35">
      <c r="A243" s="266" t="s">
        <v>265</v>
      </c>
      <c r="B243" s="267"/>
      <c r="C243" s="268"/>
      <c r="D243" s="133" t="s">
        <v>214</v>
      </c>
      <c r="E243" s="306"/>
      <c r="F243" s="307"/>
      <c r="G243" s="193" t="s">
        <v>266</v>
      </c>
      <c r="H243" s="219" t="str">
        <f>IF(E243&gt;0.08,"Does not meet design criteria","")</f>
        <v/>
      </c>
    </row>
    <row r="244" spans="1:8" ht="13" x14ac:dyDescent="0.35">
      <c r="A244" s="289" t="s">
        <v>267</v>
      </c>
      <c r="B244" s="289"/>
      <c r="C244" s="289"/>
      <c r="D244" s="133" t="s">
        <v>268</v>
      </c>
      <c r="E244" s="306"/>
      <c r="F244" s="307"/>
      <c r="G244" s="193"/>
      <c r="H244" s="219"/>
    </row>
    <row r="245" spans="1:8" ht="13" x14ac:dyDescent="0.35">
      <c r="A245" s="266" t="s">
        <v>269</v>
      </c>
      <c r="B245" s="267"/>
      <c r="C245" s="268"/>
      <c r="D245" s="133" t="s">
        <v>270</v>
      </c>
      <c r="E245" s="308" t="e">
        <f>ROUND(((E241^1.25)*(E242^0.625)*(E243^0.5))/(0.338*E244),0)</f>
        <v>#DIV/0!</v>
      </c>
      <c r="F245" s="308"/>
      <c r="G245" s="193" t="s">
        <v>271</v>
      </c>
      <c r="H245" s="219"/>
    </row>
    <row r="246" spans="1:8" ht="13" x14ac:dyDescent="0.35">
      <c r="A246" s="266" t="s">
        <v>272</v>
      </c>
      <c r="B246" s="267"/>
      <c r="C246" s="268"/>
      <c r="D246" s="133" t="s">
        <v>270</v>
      </c>
      <c r="E246" s="308" t="e">
        <f>ROUND(IF(E245&gt;G237,E245,IF(E245&lt;G237,G237)),0)</f>
        <v>#DIV/0!</v>
      </c>
      <c r="F246" s="308"/>
      <c r="G246" s="193" t="s">
        <v>271</v>
      </c>
      <c r="H246" s="219"/>
    </row>
    <row r="247" spans="1:8" x14ac:dyDescent="0.35">
      <c r="A247" s="266" t="s">
        <v>273</v>
      </c>
      <c r="B247" s="267"/>
      <c r="C247" s="267"/>
      <c r="D247" s="268"/>
      <c r="E247" s="306"/>
      <c r="F247" s="307"/>
      <c r="G247" s="266"/>
      <c r="H247" s="268"/>
    </row>
    <row r="248" spans="1:8" ht="13" x14ac:dyDescent="0.35">
      <c r="A248" s="266" t="s">
        <v>274</v>
      </c>
      <c r="B248" s="267"/>
      <c r="C248" s="268"/>
      <c r="D248" s="133" t="s">
        <v>270</v>
      </c>
      <c r="E248" s="308" t="e">
        <f>ROUND(IF(E247="YES",E246*1.15,E246),0)</f>
        <v>#DIV/0!</v>
      </c>
      <c r="F248" s="308"/>
      <c r="G248" s="193" t="s">
        <v>271</v>
      </c>
      <c r="H248" s="219"/>
    </row>
    <row r="249" spans="1:8" ht="13" x14ac:dyDescent="0.35">
      <c r="A249" s="266" t="s">
        <v>275</v>
      </c>
      <c r="B249" s="267"/>
      <c r="C249" s="268"/>
      <c r="D249" s="133" t="s">
        <v>270</v>
      </c>
      <c r="E249" s="305"/>
      <c r="F249" s="305"/>
      <c r="G249" s="193" t="s">
        <v>271</v>
      </c>
      <c r="H249" s="219" t="str">
        <f>IF(E249="","",IF(E245&gt;E248,"Does not meet design criteria",""))</f>
        <v/>
      </c>
    </row>
    <row r="250" spans="1:8" x14ac:dyDescent="0.35">
      <c r="A250" s="313"/>
      <c r="B250" s="313"/>
      <c r="C250" s="313"/>
      <c r="D250" s="313"/>
      <c r="E250" s="313"/>
      <c r="F250" s="313"/>
      <c r="G250" s="313"/>
      <c r="H250" s="313"/>
    </row>
    <row r="251" spans="1:8" ht="13" x14ac:dyDescent="0.35">
      <c r="A251" s="236" t="s">
        <v>276</v>
      </c>
      <c r="B251" s="237"/>
      <c r="C251" s="237"/>
      <c r="D251" s="237"/>
      <c r="E251" s="237"/>
      <c r="F251" s="237"/>
      <c r="G251" s="237"/>
      <c r="H251" s="238"/>
    </row>
    <row r="252" spans="1:8" ht="13" x14ac:dyDescent="0.35">
      <c r="A252" s="239" t="s">
        <v>241</v>
      </c>
      <c r="B252" s="239"/>
      <c r="C252" s="9" t="str">
        <f>IF(F226="","",IF(G231="Yes",0,IF(G230="NO",0,IF(G232="NO",0,IF(G233="NO",0,IF(G234&gt;150,0,IF(G235&gt;75,0,IF(G236&gt;10,0,IF(G238&gt;2,0,IF(E249&lt;E248,0,F226))))))))))</f>
        <v/>
      </c>
      <c r="D252" s="310" t="s">
        <v>2</v>
      </c>
      <c r="E252" s="311"/>
      <c r="F252" s="311"/>
      <c r="G252" s="311"/>
      <c r="H252" s="312"/>
    </row>
    <row r="253" spans="1:8" ht="13" x14ac:dyDescent="0.35">
      <c r="A253" s="16" t="s">
        <v>56</v>
      </c>
      <c r="B253" s="225" t="str">
        <f>IF('STEP 2-WQv Calculation'!$B$4="","",'STEP 2-WQv Calculation'!$B$4)</f>
        <v/>
      </c>
    </row>
    <row r="254" spans="1:8" ht="13" x14ac:dyDescent="0.35">
      <c r="A254" s="309" t="s">
        <v>243</v>
      </c>
      <c r="B254" s="309"/>
      <c r="C254" s="309"/>
      <c r="D254" s="309"/>
      <c r="E254" s="309"/>
      <c r="F254" s="309"/>
      <c r="G254" s="309"/>
      <c r="H254" s="309"/>
    </row>
    <row r="255" spans="1:8" ht="38.5" x14ac:dyDescent="0.35">
      <c r="A255" s="204" t="s">
        <v>60</v>
      </c>
      <c r="B255" s="205" t="s">
        <v>61</v>
      </c>
      <c r="C255" s="205" t="s">
        <v>62</v>
      </c>
      <c r="D255" s="205" t="s">
        <v>63</v>
      </c>
      <c r="E255" s="205" t="s">
        <v>64</v>
      </c>
      <c r="F255" s="205" t="s">
        <v>65</v>
      </c>
      <c r="G255" s="205" t="s">
        <v>244</v>
      </c>
      <c r="H255" s="206" t="s">
        <v>13</v>
      </c>
    </row>
    <row r="256" spans="1:8" x14ac:dyDescent="0.35">
      <c r="A256" s="17"/>
      <c r="B256" s="18" t="str">
        <f>IF($A256="","",(LOOKUP($A256,'STEP 2-WQv Calculation'!$A$8:$A$37,'STEP 2-WQv Calculation'!$B$8:$B$37)))</f>
        <v/>
      </c>
      <c r="C256" s="18" t="str">
        <f>IF($A256="","",(LOOKUP($A256,'STEP 2-WQv Calculation'!$A$8:$A$37,'STEP 2-WQv Calculation'!$C$8:$C$37)))</f>
        <v/>
      </c>
      <c r="D256" s="53" t="str">
        <f>IF($A256="","",(LOOKUP($A256,'STEP 2-WQv Calculation'!$A$8:$A$37,'STEP 2-WQv Calculation'!$D$8:$D$37)))</f>
        <v/>
      </c>
      <c r="E256" s="18" t="str">
        <f>IF($A256="","",(LOOKUP($A256,'STEP 2-WQv Calculation'!$A$8:$A$37,'STEP 2-WQv Calculation'!$E$8:$E$37)))</f>
        <v/>
      </c>
      <c r="F256" s="42" t="str">
        <f>IF($A256="","",(LOOKUP($A256,'STEP 2-WQv Calculation'!$A$8:$A$37,'STEP 2-WQv Calculation'!$F$8:$F$37)))</f>
        <v/>
      </c>
      <c r="G256" s="18">
        <f>'STEP 2-WQv Calculation'!B145</f>
        <v>0</v>
      </c>
      <c r="H256" s="29" t="str">
        <f>IF($A256="","",(LOOKUP($A256,'STEP 2-WQv Calculation'!$A$8:$A$37,'STEP 2-WQv Calculation'!$G$8:$G$37)))</f>
        <v/>
      </c>
    </row>
    <row r="257" spans="1:8" ht="13" x14ac:dyDescent="0.35">
      <c r="A257" s="241" t="s">
        <v>226</v>
      </c>
      <c r="B257" s="241"/>
      <c r="C257" s="241"/>
      <c r="D257" s="241"/>
      <c r="E257" s="241"/>
      <c r="F257" s="241"/>
      <c r="G257" s="241"/>
      <c r="H257" s="241"/>
    </row>
    <row r="258" spans="1:8" x14ac:dyDescent="0.35">
      <c r="A258" s="245" t="s">
        <v>246</v>
      </c>
      <c r="B258" s="245"/>
      <c r="C258" s="245"/>
      <c r="D258" s="245"/>
      <c r="E258" s="245"/>
      <c r="F258" s="245"/>
      <c r="G258" s="218"/>
      <c r="H258" s="219" t="str">
        <f>IF(G258="NO","Does not meet design criteria","")</f>
        <v/>
      </c>
    </row>
    <row r="259" spans="1:8" ht="50" x14ac:dyDescent="0.35">
      <c r="A259" s="245" t="s">
        <v>247</v>
      </c>
      <c r="B259" s="245"/>
      <c r="C259" s="245"/>
      <c r="D259" s="245"/>
      <c r="E259" s="245"/>
      <c r="F259" s="245"/>
      <c r="G259" s="218"/>
      <c r="H259" s="224" t="str">
        <f>IF(G259="","This practice cannot be used for hotspot treatment",IF(G259="Yes","Does not meet design criteria",""))</f>
        <v>This practice cannot be used for hotspot treatment</v>
      </c>
    </row>
    <row r="260" spans="1:8" x14ac:dyDescent="0.35">
      <c r="A260" s="245" t="s">
        <v>249</v>
      </c>
      <c r="B260" s="245"/>
      <c r="C260" s="245"/>
      <c r="D260" s="245"/>
      <c r="E260" s="245"/>
      <c r="F260" s="245"/>
      <c r="G260" s="218"/>
      <c r="H260" s="219" t="str">
        <f>IF(G260="NO","Does not meet design criteria","")</f>
        <v/>
      </c>
    </row>
    <row r="261" spans="1:8" x14ac:dyDescent="0.35">
      <c r="A261" s="245" t="s">
        <v>250</v>
      </c>
      <c r="B261" s="245"/>
      <c r="C261" s="245"/>
      <c r="D261" s="245"/>
      <c r="E261" s="245"/>
      <c r="F261" s="245"/>
      <c r="G261" s="218"/>
      <c r="H261" s="219" t="str">
        <f>IF(G261="NO","Does not meet design criteria","")</f>
        <v/>
      </c>
    </row>
    <row r="262" spans="1:8" x14ac:dyDescent="0.35">
      <c r="A262" s="242" t="s">
        <v>251</v>
      </c>
      <c r="B262" s="243"/>
      <c r="C262" s="243"/>
      <c r="D262" s="243"/>
      <c r="E262" s="243"/>
      <c r="F262" s="244"/>
      <c r="G262" s="210"/>
      <c r="H262" s="219" t="str">
        <f>IF(G262&gt;150,"Does not meet design criteria","")</f>
        <v/>
      </c>
    </row>
    <row r="263" spans="1:8" x14ac:dyDescent="0.35">
      <c r="A263" s="242" t="s">
        <v>252</v>
      </c>
      <c r="B263" s="243"/>
      <c r="C263" s="243"/>
      <c r="D263" s="243"/>
      <c r="E263" s="243"/>
      <c r="F263" s="244"/>
      <c r="G263" s="210"/>
      <c r="H263" s="219" t="str">
        <f>IF(G263&gt;75,"Does not meet design criteria","")</f>
        <v/>
      </c>
    </row>
    <row r="264" spans="1:8" x14ac:dyDescent="0.35">
      <c r="A264" s="242" t="s">
        <v>253</v>
      </c>
      <c r="B264" s="243"/>
      <c r="C264" s="243"/>
      <c r="D264" s="243"/>
      <c r="E264" s="243"/>
      <c r="F264" s="244"/>
      <c r="G264" s="210"/>
      <c r="H264" s="219" t="str">
        <f>IF(G264&gt;10,"Does not meet design criteria","")</f>
        <v/>
      </c>
    </row>
    <row r="265" spans="1:8" x14ac:dyDescent="0.35">
      <c r="A265" s="242" t="s">
        <v>254</v>
      </c>
      <c r="B265" s="243"/>
      <c r="C265" s="243"/>
      <c r="D265" s="243"/>
      <c r="E265" s="243"/>
      <c r="F265" s="244"/>
      <c r="G265" s="212">
        <f>IF(G264&lt;=5,35,IF(G264&lt;=10,60,IF(G264&gt;10,"")))</f>
        <v>35</v>
      </c>
      <c r="H265" s="219" t="str">
        <f>IF(G264&gt;10,"Does not meet design criteria","")</f>
        <v/>
      </c>
    </row>
    <row r="266" spans="1:8" x14ac:dyDescent="0.35">
      <c r="A266" s="242" t="s">
        <v>255</v>
      </c>
      <c r="B266" s="243"/>
      <c r="C266" s="243"/>
      <c r="D266" s="243"/>
      <c r="E266" s="243"/>
      <c r="F266" s="244"/>
      <c r="G266" s="210"/>
      <c r="H266" s="219" t="str">
        <f>IF(G266&gt;2,"Does not meet design criteria","")</f>
        <v/>
      </c>
    </row>
    <row r="267" spans="1:8" ht="13" x14ac:dyDescent="0.3">
      <c r="A267" s="246" t="s">
        <v>232</v>
      </c>
      <c r="B267" s="247"/>
      <c r="C267" s="247"/>
      <c r="D267" s="247"/>
      <c r="E267" s="247"/>
      <c r="F267" s="247"/>
      <c r="G267" s="247"/>
      <c r="H267" s="247"/>
    </row>
    <row r="268" spans="1:8" ht="13" x14ac:dyDescent="0.35">
      <c r="A268" s="35"/>
      <c r="B268" s="36"/>
      <c r="C268" s="36"/>
      <c r="D268" s="37"/>
      <c r="E268" s="302" t="s">
        <v>256</v>
      </c>
      <c r="F268" s="302"/>
      <c r="G268" s="38" t="s">
        <v>257</v>
      </c>
      <c r="H268" s="38" t="s">
        <v>258</v>
      </c>
    </row>
    <row r="269" spans="1:8" ht="13" x14ac:dyDescent="0.35">
      <c r="A269" s="289" t="s">
        <v>259</v>
      </c>
      <c r="B269" s="289"/>
      <c r="C269" s="289"/>
      <c r="D269" s="133" t="s">
        <v>260</v>
      </c>
      <c r="E269" s="303"/>
      <c r="F269" s="304"/>
      <c r="G269" s="193" t="s">
        <v>261</v>
      </c>
      <c r="H269" s="219" t="str">
        <f>IF(E269="","",IF(E269&lt;6,"Does not meet design criteria",""))</f>
        <v/>
      </c>
    </row>
    <row r="270" spans="1:8" ht="13" x14ac:dyDescent="0.35">
      <c r="A270" s="289" t="s">
        <v>262</v>
      </c>
      <c r="B270" s="289"/>
      <c r="C270" s="289"/>
      <c r="D270" s="133" t="s">
        <v>263</v>
      </c>
      <c r="E270" s="306"/>
      <c r="F270" s="307"/>
      <c r="G270" s="193" t="s">
        <v>264</v>
      </c>
      <c r="H270" s="219"/>
    </row>
    <row r="271" spans="1:8" ht="13" x14ac:dyDescent="0.35">
      <c r="A271" s="266" t="s">
        <v>265</v>
      </c>
      <c r="B271" s="267"/>
      <c r="C271" s="268"/>
      <c r="D271" s="133" t="s">
        <v>214</v>
      </c>
      <c r="E271" s="306"/>
      <c r="F271" s="307"/>
      <c r="G271" s="193" t="s">
        <v>266</v>
      </c>
      <c r="H271" s="219" t="str">
        <f>IF(E271&gt;0.08,"Does not meet design criteria","")</f>
        <v/>
      </c>
    </row>
    <row r="272" spans="1:8" ht="13" x14ac:dyDescent="0.35">
      <c r="A272" s="289" t="s">
        <v>267</v>
      </c>
      <c r="B272" s="289"/>
      <c r="C272" s="289"/>
      <c r="D272" s="133" t="s">
        <v>268</v>
      </c>
      <c r="E272" s="306"/>
      <c r="F272" s="307"/>
      <c r="G272" s="193"/>
      <c r="H272" s="219"/>
    </row>
    <row r="273" spans="1:8" ht="13" x14ac:dyDescent="0.35">
      <c r="A273" s="266" t="s">
        <v>269</v>
      </c>
      <c r="B273" s="267"/>
      <c r="C273" s="268"/>
      <c r="D273" s="133" t="s">
        <v>270</v>
      </c>
      <c r="E273" s="308" t="e">
        <f>ROUND(((E269^1.25)*(E270^0.625)*(E271^0.5))/(0.338*E272),0)</f>
        <v>#DIV/0!</v>
      </c>
      <c r="F273" s="308"/>
      <c r="G273" s="193" t="s">
        <v>271</v>
      </c>
      <c r="H273" s="219"/>
    </row>
    <row r="274" spans="1:8" ht="13" x14ac:dyDescent="0.35">
      <c r="A274" s="266" t="s">
        <v>272</v>
      </c>
      <c r="B274" s="267"/>
      <c r="C274" s="268"/>
      <c r="D274" s="133" t="s">
        <v>270</v>
      </c>
      <c r="E274" s="308" t="e">
        <f>ROUND(IF(E273&gt;G265,E273,IF(E273&lt;G265,G265)),0)</f>
        <v>#DIV/0!</v>
      </c>
      <c r="F274" s="308"/>
      <c r="G274" s="193" t="s">
        <v>271</v>
      </c>
      <c r="H274" s="219"/>
    </row>
    <row r="275" spans="1:8" x14ac:dyDescent="0.35">
      <c r="A275" s="266" t="s">
        <v>273</v>
      </c>
      <c r="B275" s="267"/>
      <c r="C275" s="267"/>
      <c r="D275" s="268"/>
      <c r="E275" s="306"/>
      <c r="F275" s="307"/>
      <c r="G275" s="266"/>
      <c r="H275" s="268"/>
    </row>
    <row r="276" spans="1:8" ht="13" x14ac:dyDescent="0.35">
      <c r="A276" s="266" t="s">
        <v>274</v>
      </c>
      <c r="B276" s="267"/>
      <c r="C276" s="268"/>
      <c r="D276" s="133" t="s">
        <v>270</v>
      </c>
      <c r="E276" s="308" t="e">
        <f>ROUND(IF(E275="YES",E274*1.15,E274),0)</f>
        <v>#DIV/0!</v>
      </c>
      <c r="F276" s="308"/>
      <c r="G276" s="193" t="s">
        <v>271</v>
      </c>
      <c r="H276" s="219"/>
    </row>
    <row r="277" spans="1:8" ht="13" x14ac:dyDescent="0.35">
      <c r="A277" s="266" t="s">
        <v>275</v>
      </c>
      <c r="B277" s="267"/>
      <c r="C277" s="268"/>
      <c r="D277" s="133" t="s">
        <v>270</v>
      </c>
      <c r="E277" s="305"/>
      <c r="F277" s="305"/>
      <c r="G277" s="193" t="s">
        <v>271</v>
      </c>
      <c r="H277" s="219" t="str">
        <f>IF(E277="","",IF(E273&gt;E276,"Does not meet design criteria",""))</f>
        <v/>
      </c>
    </row>
    <row r="278" spans="1:8" x14ac:dyDescent="0.35">
      <c r="A278" s="313"/>
      <c r="B278" s="313"/>
      <c r="C278" s="313"/>
      <c r="D278" s="313"/>
      <c r="E278" s="313"/>
      <c r="F278" s="313"/>
      <c r="G278" s="313"/>
      <c r="H278" s="313"/>
    </row>
    <row r="279" spans="1:8" ht="13" x14ac:dyDescent="0.35">
      <c r="A279" s="236" t="s">
        <v>276</v>
      </c>
      <c r="B279" s="237"/>
      <c r="C279" s="237"/>
      <c r="D279" s="237"/>
      <c r="E279" s="237"/>
      <c r="F279" s="237"/>
      <c r="G279" s="237"/>
      <c r="H279" s="238"/>
    </row>
    <row r="280" spans="1:8" ht="13" x14ac:dyDescent="0.35">
      <c r="A280" s="239" t="s">
        <v>241</v>
      </c>
      <c r="B280" s="239"/>
      <c r="C280" s="9" t="str">
        <f>IF(F254="","",IF(G259="Yes",0,IF(G258="NO",0,IF(G260="NO",0,IF(G261="NO",0,IF(G262&gt;150,0,IF(G263&gt;75,0,IF(G264&gt;10,0,IF(G266&gt;2,0,IF(E277&lt;E276,0,F254))))))))))</f>
        <v/>
      </c>
      <c r="D280" s="310" t="s">
        <v>2</v>
      </c>
      <c r="E280" s="311"/>
      <c r="F280" s="311"/>
      <c r="G280" s="311"/>
      <c r="H280" s="312"/>
    </row>
  </sheetData>
  <sheetProtection algorithmName="SHA-512" hashValue="QBN1h2zleQqGn8zwooMTBQSZVFuxtVau+mlHuhb/88zoYaG45GVM9tFGpATYsgomYPqh+B9xpkdtEHp7Ev7zPA==" saltValue="em4dmY8nVch9hmVrCvhkng==" spinCount="100000" sheet="1" formatColumns="0" formatRows="0"/>
  <mergeCells count="364">
    <mergeCell ref="A276:C276"/>
    <mergeCell ref="E276:F276"/>
    <mergeCell ref="A277:C277"/>
    <mergeCell ref="E277:F277"/>
    <mergeCell ref="A278:H278"/>
    <mergeCell ref="A279:H279"/>
    <mergeCell ref="A280:B280"/>
    <mergeCell ref="D280:H280"/>
    <mergeCell ref="A272:C272"/>
    <mergeCell ref="E272:F272"/>
    <mergeCell ref="A273:C273"/>
    <mergeCell ref="E273:F273"/>
    <mergeCell ref="A274:C274"/>
    <mergeCell ref="E274:F274"/>
    <mergeCell ref="A275:D275"/>
    <mergeCell ref="E275:F275"/>
    <mergeCell ref="G275:H275"/>
    <mergeCell ref="A266:F266"/>
    <mergeCell ref="A267:H267"/>
    <mergeCell ref="E268:F268"/>
    <mergeCell ref="A269:C269"/>
    <mergeCell ref="E269:F269"/>
    <mergeCell ref="A270:C270"/>
    <mergeCell ref="E270:F270"/>
    <mergeCell ref="A271:C271"/>
    <mergeCell ref="E271:F271"/>
    <mergeCell ref="A257:H257"/>
    <mergeCell ref="A258:F258"/>
    <mergeCell ref="A259:F259"/>
    <mergeCell ref="A260:F260"/>
    <mergeCell ref="A261:F261"/>
    <mergeCell ref="A262:F262"/>
    <mergeCell ref="A263:F263"/>
    <mergeCell ref="A264:F264"/>
    <mergeCell ref="A265:F265"/>
    <mergeCell ref="A248:C248"/>
    <mergeCell ref="E248:F248"/>
    <mergeCell ref="A249:C249"/>
    <mergeCell ref="E249:F249"/>
    <mergeCell ref="A250:H250"/>
    <mergeCell ref="A251:H251"/>
    <mergeCell ref="A252:B252"/>
    <mergeCell ref="D252:H252"/>
    <mergeCell ref="A254:H254"/>
    <mergeCell ref="A244:C244"/>
    <mergeCell ref="E244:F244"/>
    <mergeCell ref="A245:C245"/>
    <mergeCell ref="E245:F245"/>
    <mergeCell ref="A246:C246"/>
    <mergeCell ref="E246:F246"/>
    <mergeCell ref="A247:D247"/>
    <mergeCell ref="E247:F247"/>
    <mergeCell ref="G247:H247"/>
    <mergeCell ref="A238:F238"/>
    <mergeCell ref="A239:H239"/>
    <mergeCell ref="E240:F240"/>
    <mergeCell ref="A241:C241"/>
    <mergeCell ref="E241:F241"/>
    <mergeCell ref="A242:C242"/>
    <mergeCell ref="E242:F242"/>
    <mergeCell ref="A243:C243"/>
    <mergeCell ref="E243:F243"/>
    <mergeCell ref="A229:H229"/>
    <mergeCell ref="A230:F230"/>
    <mergeCell ref="A231:F231"/>
    <mergeCell ref="A232:F232"/>
    <mergeCell ref="A233:F233"/>
    <mergeCell ref="A234:F234"/>
    <mergeCell ref="A235:F235"/>
    <mergeCell ref="A236:F236"/>
    <mergeCell ref="A237:F237"/>
    <mergeCell ref="A220:C220"/>
    <mergeCell ref="E220:F220"/>
    <mergeCell ref="A221:C221"/>
    <mergeCell ref="E221:F221"/>
    <mergeCell ref="A222:H222"/>
    <mergeCell ref="A223:H223"/>
    <mergeCell ref="A224:B224"/>
    <mergeCell ref="D224:H224"/>
    <mergeCell ref="A226:H226"/>
    <mergeCell ref="A216:C216"/>
    <mergeCell ref="E216:F216"/>
    <mergeCell ref="A217:C217"/>
    <mergeCell ref="E217:F217"/>
    <mergeCell ref="A218:C218"/>
    <mergeCell ref="E218:F218"/>
    <mergeCell ref="A219:D219"/>
    <mergeCell ref="E219:F219"/>
    <mergeCell ref="G219:H219"/>
    <mergeCell ref="A210:F210"/>
    <mergeCell ref="A211:H211"/>
    <mergeCell ref="E212:F212"/>
    <mergeCell ref="A213:C213"/>
    <mergeCell ref="E213:F213"/>
    <mergeCell ref="A214:C214"/>
    <mergeCell ref="E214:F214"/>
    <mergeCell ref="A215:C215"/>
    <mergeCell ref="E215:F215"/>
    <mergeCell ref="A201:H201"/>
    <mergeCell ref="A202:F202"/>
    <mergeCell ref="A203:F203"/>
    <mergeCell ref="A204:F204"/>
    <mergeCell ref="A205:F205"/>
    <mergeCell ref="A206:F206"/>
    <mergeCell ref="A207:F207"/>
    <mergeCell ref="A208:F208"/>
    <mergeCell ref="A209:F209"/>
    <mergeCell ref="A192:C192"/>
    <mergeCell ref="E192:F192"/>
    <mergeCell ref="A193:C193"/>
    <mergeCell ref="E193:F193"/>
    <mergeCell ref="A194:H194"/>
    <mergeCell ref="A195:H195"/>
    <mergeCell ref="A196:B196"/>
    <mergeCell ref="D196:H196"/>
    <mergeCell ref="A198:H198"/>
    <mergeCell ref="A188:C188"/>
    <mergeCell ref="E188:F188"/>
    <mergeCell ref="A189:C189"/>
    <mergeCell ref="E189:F189"/>
    <mergeCell ref="A190:C190"/>
    <mergeCell ref="E190:F190"/>
    <mergeCell ref="A191:D191"/>
    <mergeCell ref="E191:F191"/>
    <mergeCell ref="G191:H191"/>
    <mergeCell ref="A182:F182"/>
    <mergeCell ref="A183:H183"/>
    <mergeCell ref="E184:F184"/>
    <mergeCell ref="A185:C185"/>
    <mergeCell ref="E185:F185"/>
    <mergeCell ref="A186:C186"/>
    <mergeCell ref="E186:F186"/>
    <mergeCell ref="A187:C187"/>
    <mergeCell ref="E187:F187"/>
    <mergeCell ref="A173:H173"/>
    <mergeCell ref="A174:F174"/>
    <mergeCell ref="A175:F175"/>
    <mergeCell ref="A176:F176"/>
    <mergeCell ref="A177:F177"/>
    <mergeCell ref="A178:F178"/>
    <mergeCell ref="A179:F179"/>
    <mergeCell ref="A180:F180"/>
    <mergeCell ref="A181:F181"/>
    <mergeCell ref="A164:C164"/>
    <mergeCell ref="E164:F164"/>
    <mergeCell ref="A165:C165"/>
    <mergeCell ref="E165:F165"/>
    <mergeCell ref="A166:H166"/>
    <mergeCell ref="A167:H167"/>
    <mergeCell ref="A168:B168"/>
    <mergeCell ref="D168:H168"/>
    <mergeCell ref="A170:H170"/>
    <mergeCell ref="A160:C160"/>
    <mergeCell ref="E160:F160"/>
    <mergeCell ref="A161:C161"/>
    <mergeCell ref="E161:F161"/>
    <mergeCell ref="A162:C162"/>
    <mergeCell ref="E162:F162"/>
    <mergeCell ref="A163:D163"/>
    <mergeCell ref="E163:F163"/>
    <mergeCell ref="G163:H163"/>
    <mergeCell ref="A153:F153"/>
    <mergeCell ref="A154:F154"/>
    <mergeCell ref="A155:H155"/>
    <mergeCell ref="E156:F156"/>
    <mergeCell ref="A157:C157"/>
    <mergeCell ref="E157:F157"/>
    <mergeCell ref="A158:C158"/>
    <mergeCell ref="E158:F158"/>
    <mergeCell ref="A159:C159"/>
    <mergeCell ref="E159:F159"/>
    <mergeCell ref="A142:H142"/>
    <mergeCell ref="A145:H145"/>
    <mergeCell ref="A146:F146"/>
    <mergeCell ref="A147:F147"/>
    <mergeCell ref="A148:F148"/>
    <mergeCell ref="A149:F149"/>
    <mergeCell ref="A150:F150"/>
    <mergeCell ref="A151:F151"/>
    <mergeCell ref="A152:F152"/>
    <mergeCell ref="A131:C131"/>
    <mergeCell ref="E131:F131"/>
    <mergeCell ref="A132:C132"/>
    <mergeCell ref="E132:F132"/>
    <mergeCell ref="A133:C133"/>
    <mergeCell ref="E133:F133"/>
    <mergeCell ref="A139:H139"/>
    <mergeCell ref="A140:B140"/>
    <mergeCell ref="D140:H140"/>
    <mergeCell ref="A136:C136"/>
    <mergeCell ref="E136:F136"/>
    <mergeCell ref="A137:C137"/>
    <mergeCell ref="E137:F137"/>
    <mergeCell ref="A138:H138"/>
    <mergeCell ref="A134:C134"/>
    <mergeCell ref="E134:F134"/>
    <mergeCell ref="A135:D135"/>
    <mergeCell ref="E135:F135"/>
    <mergeCell ref="G135:H135"/>
    <mergeCell ref="A127:H127"/>
    <mergeCell ref="E128:F128"/>
    <mergeCell ref="A129:C129"/>
    <mergeCell ref="E129:F129"/>
    <mergeCell ref="A130:C130"/>
    <mergeCell ref="E130:F130"/>
    <mergeCell ref="A122:F122"/>
    <mergeCell ref="A123:F123"/>
    <mergeCell ref="A124:F124"/>
    <mergeCell ref="A125:F125"/>
    <mergeCell ref="A126:F126"/>
    <mergeCell ref="A118:F118"/>
    <mergeCell ref="A120:F120"/>
    <mergeCell ref="A121:F121"/>
    <mergeCell ref="A111:H111"/>
    <mergeCell ref="A112:B112"/>
    <mergeCell ref="D112:H112"/>
    <mergeCell ref="A114:H114"/>
    <mergeCell ref="A117:H117"/>
    <mergeCell ref="A119:F119"/>
    <mergeCell ref="A108:C108"/>
    <mergeCell ref="E108:F108"/>
    <mergeCell ref="A109:C109"/>
    <mergeCell ref="E109:F109"/>
    <mergeCell ref="A110:H110"/>
    <mergeCell ref="A106:C106"/>
    <mergeCell ref="E106:F106"/>
    <mergeCell ref="A107:D107"/>
    <mergeCell ref="E107:F107"/>
    <mergeCell ref="G107:H107"/>
    <mergeCell ref="A103:C103"/>
    <mergeCell ref="E103:F103"/>
    <mergeCell ref="A104:C104"/>
    <mergeCell ref="E104:F104"/>
    <mergeCell ref="A105:C105"/>
    <mergeCell ref="E105:F105"/>
    <mergeCell ref="A99:H99"/>
    <mergeCell ref="E100:F100"/>
    <mergeCell ref="A101:C101"/>
    <mergeCell ref="E101:F101"/>
    <mergeCell ref="A102:C102"/>
    <mergeCell ref="E102:F102"/>
    <mergeCell ref="A94:F94"/>
    <mergeCell ref="A95:F95"/>
    <mergeCell ref="A96:F96"/>
    <mergeCell ref="A97:F97"/>
    <mergeCell ref="A98:F98"/>
    <mergeCell ref="A90:F90"/>
    <mergeCell ref="A92:F92"/>
    <mergeCell ref="A93:F93"/>
    <mergeCell ref="A91:F91"/>
    <mergeCell ref="A83:H83"/>
    <mergeCell ref="A84:B84"/>
    <mergeCell ref="D84:H84"/>
    <mergeCell ref="A86:H86"/>
    <mergeCell ref="A89:H89"/>
    <mergeCell ref="A80:C80"/>
    <mergeCell ref="E80:F80"/>
    <mergeCell ref="A81:C81"/>
    <mergeCell ref="E81:F81"/>
    <mergeCell ref="A82:H82"/>
    <mergeCell ref="A78:C78"/>
    <mergeCell ref="E78:F78"/>
    <mergeCell ref="A79:D79"/>
    <mergeCell ref="E79:F79"/>
    <mergeCell ref="G79:H79"/>
    <mergeCell ref="A75:C75"/>
    <mergeCell ref="E75:F75"/>
    <mergeCell ref="A76:C76"/>
    <mergeCell ref="E76:F76"/>
    <mergeCell ref="A77:C77"/>
    <mergeCell ref="E77:F77"/>
    <mergeCell ref="A71:H71"/>
    <mergeCell ref="E72:F72"/>
    <mergeCell ref="A73:C73"/>
    <mergeCell ref="E73:F73"/>
    <mergeCell ref="A74:C74"/>
    <mergeCell ref="E74:F74"/>
    <mergeCell ref="A66:F66"/>
    <mergeCell ref="A67:F67"/>
    <mergeCell ref="A68:F68"/>
    <mergeCell ref="A69:F69"/>
    <mergeCell ref="A70:F70"/>
    <mergeCell ref="A62:F62"/>
    <mergeCell ref="A64:F64"/>
    <mergeCell ref="A65:F65"/>
    <mergeCell ref="A55:H55"/>
    <mergeCell ref="A56:B56"/>
    <mergeCell ref="D56:H56"/>
    <mergeCell ref="A58:H58"/>
    <mergeCell ref="A61:H61"/>
    <mergeCell ref="A63:F63"/>
    <mergeCell ref="A52:C52"/>
    <mergeCell ref="E52:F52"/>
    <mergeCell ref="A53:C53"/>
    <mergeCell ref="E53:F53"/>
    <mergeCell ref="A54:H54"/>
    <mergeCell ref="A50:C50"/>
    <mergeCell ref="E50:F50"/>
    <mergeCell ref="A51:D51"/>
    <mergeCell ref="E51:F51"/>
    <mergeCell ref="G51:H51"/>
    <mergeCell ref="A47:C47"/>
    <mergeCell ref="E47:F47"/>
    <mergeCell ref="A48:C48"/>
    <mergeCell ref="E48:F48"/>
    <mergeCell ref="A49:C49"/>
    <mergeCell ref="E49:F49"/>
    <mergeCell ref="A43:H43"/>
    <mergeCell ref="E44:F44"/>
    <mergeCell ref="A45:C45"/>
    <mergeCell ref="E45:F45"/>
    <mergeCell ref="A46:C46"/>
    <mergeCell ref="E46:F46"/>
    <mergeCell ref="A38:F38"/>
    <mergeCell ref="A39:F39"/>
    <mergeCell ref="A40:F40"/>
    <mergeCell ref="A41:F41"/>
    <mergeCell ref="A42:F42"/>
    <mergeCell ref="A34:F34"/>
    <mergeCell ref="A36:F36"/>
    <mergeCell ref="A37:F37"/>
    <mergeCell ref="A35:F35"/>
    <mergeCell ref="A30:H30"/>
    <mergeCell ref="A33:H33"/>
    <mergeCell ref="A26:H26"/>
    <mergeCell ref="A27:H27"/>
    <mergeCell ref="A28:B28"/>
    <mergeCell ref="E24:F24"/>
    <mergeCell ref="A25:C25"/>
    <mergeCell ref="E25:F25"/>
    <mergeCell ref="A22:C22"/>
    <mergeCell ref="E22:F22"/>
    <mergeCell ref="A23:D23"/>
    <mergeCell ref="E23:F23"/>
    <mergeCell ref="G23:H23"/>
    <mergeCell ref="D28:H28"/>
    <mergeCell ref="A24:C24"/>
    <mergeCell ref="A8:F8"/>
    <mergeCell ref="A7:F7"/>
    <mergeCell ref="I2:J2"/>
    <mergeCell ref="I3:J3"/>
    <mergeCell ref="I4:J4"/>
    <mergeCell ref="I9:M9"/>
    <mergeCell ref="A10:F10"/>
    <mergeCell ref="A11:F11"/>
    <mergeCell ref="A2:H2"/>
    <mergeCell ref="A5:H5"/>
    <mergeCell ref="A6:F6"/>
    <mergeCell ref="A19:C19"/>
    <mergeCell ref="E19:F19"/>
    <mergeCell ref="A20:C20"/>
    <mergeCell ref="E20:F20"/>
    <mergeCell ref="A21:C21"/>
    <mergeCell ref="E21:F21"/>
    <mergeCell ref="E18:F18"/>
    <mergeCell ref="A18:C18"/>
    <mergeCell ref="A9:F9"/>
    <mergeCell ref="A14:F14"/>
    <mergeCell ref="A15:H15"/>
    <mergeCell ref="E16:F16"/>
    <mergeCell ref="A17:C17"/>
    <mergeCell ref="E17:F17"/>
    <mergeCell ref="A12:F12"/>
    <mergeCell ref="A13:F13"/>
  </mergeCells>
  <dataValidations count="3">
    <dataValidation type="list" showInputMessage="1" showErrorMessage="1" promptTitle="Yes or No?" sqref="E135 G15 E23 G62:G65 G99 E107 G6:G9 G43 E51 G34:G37 G71 E79 G90:G93 G127 G118:G121 E163 G155 G146:G149 E191 G183 G174:G177 E219 G211 G202:G205 E247 G239 G230:G233 E275 G267 G258:G261" xr:uid="{60469B07-CCDC-48C1-9890-B67C09DFBD0C}">
      <formula1>YesNo</formula1>
    </dataValidation>
    <dataValidation type="list" showInputMessage="1" showErrorMessage="1" promptTitle="Choose Area" sqref="A4 A88 A32 A60 A116 A144 A172 A200 A228 A256" xr:uid="{B0832BA1-E013-418E-9A84-5F2C729CB8C8}">
      <formula1>CatchNo</formula1>
    </dataValidation>
    <dataValidation type="decimal" operator="greaterThan" allowBlank="1" showInputMessage="1" showErrorMessage="1" sqref="E81:F81 G94:G96 E101:F104 G98 E137:F137 G14 E17:F20 E25:F25 G38:G40 G42 E45:F48 E53:F53 G66:G68 G70 E73:F76 E109:F109 G122:G124 G126 E129:F132 G10:G12 E165:F165 G150:G152 G154 E157:F160 E193:F193 G178:G180 G182 E185:F188 E221:F221 G206:G208 G210 E213:F216 E249:F249 G234:G236 G238 E241:F244 E277:F277 G262:G264 G266 E269:F272" xr:uid="{94159BFA-D240-43BA-A1DB-B23D85E67223}">
      <formula1>0</formula1>
    </dataValidation>
  </dataValidations>
  <pageMargins left="0.5" right="0.5" top="0.75" bottom="0.5" header="0.3" footer="0.3"/>
  <pageSetup paperSize="278" orientation="portrait" r:id="rId1"/>
  <headerFooter>
    <oddHeader>&amp;C&amp;"Arial,Regular"&amp;18Sheet Flow to Grass Filter Strip (RR-3)</oddHeader>
  </headerFooter>
  <rowBreaks count="10" manualBreakCount="10">
    <brk id="28" max="16383" man="1"/>
    <brk id="56" max="16383" man="1"/>
    <brk id="84" max="16383" man="1"/>
    <brk id="112" max="16383" man="1"/>
    <brk id="140" max="16383" man="1"/>
    <brk id="168" max="16383" man="1"/>
    <brk id="196" max="16383" man="1"/>
    <brk id="224" max="16383" man="1"/>
    <brk id="252" max="16383" man="1"/>
    <brk id="28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42AAD2AAA4B840A4F4E7FC718F57B8" ma:contentTypeVersion="16" ma:contentTypeDescription="Create a new document." ma:contentTypeScope="" ma:versionID="f2ee9975bff0b53a04154aeebb2a093d">
  <xsd:schema xmlns:xsd="http://www.w3.org/2001/XMLSchema" xmlns:xs="http://www.w3.org/2001/XMLSchema" xmlns:p="http://schemas.microsoft.com/office/2006/metadata/properties" xmlns:ns2="d27efb73-9b69-44df-a541-35622d1b3aec" xmlns:ns3="a3d202fa-1933-4420-ab07-2ee53e82da18" targetNamespace="http://schemas.microsoft.com/office/2006/metadata/properties" ma:root="true" ma:fieldsID="880f4e593abf81fe115b6e1fa78c29bc" ns2:_="" ns3:_="">
    <xsd:import namespace="d27efb73-9b69-44df-a541-35622d1b3aec"/>
    <xsd:import namespace="a3d202fa-1933-4420-ab07-2ee53e82da1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InWorkflow" minOccurs="0"/>
                <xsd:element ref="ns2:MediaServiceLocation" minOccurs="0"/>
                <xsd:element ref="ns2:MediaServiceObjectDetectorVersions"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7efb73-9b69-44df-a541-35622d1b3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InWorkflow" ma:index="17" nillable="true" ma:displayName="InWorkflow" ma:default="In Workflow" ma:format="RadioButtons" ma:indexed="true" ma:internalName="InWorkflow">
      <xsd:simpleType>
        <xsd:restriction base="dms:Choice">
          <xsd:enumeration value="Completed"/>
          <xsd:enumeration value="In Workflow"/>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d202fa-1933-4420-ab07-2ee53e82da1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bab6c2b-adfa-4322-af15-bd4b2d671278}" ma:internalName="TaxCatchAll" ma:showField="CatchAllData" ma:web="a3d202fa-1933-4420-ab07-2ee53e82da1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3d202fa-1933-4420-ab07-2ee53e82da18" xsi:nil="true"/>
    <lcf76f155ced4ddcb4097134ff3c332f xmlns="d27efb73-9b69-44df-a541-35622d1b3aec">
      <Terms xmlns="http://schemas.microsoft.com/office/infopath/2007/PartnerControls"/>
    </lcf76f155ced4ddcb4097134ff3c332f>
    <InWorkflow xmlns="d27efb73-9b69-44df-a541-35622d1b3aec">In Workflow</InWorkflow>
  </documentManagement>
</p:properties>
</file>

<file path=customXml/itemProps1.xml><?xml version="1.0" encoding="utf-8"?>
<ds:datastoreItem xmlns:ds="http://schemas.openxmlformats.org/officeDocument/2006/customXml" ds:itemID="{325B6600-359E-4691-960D-310000F8D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7efb73-9b69-44df-a541-35622d1b3aec"/>
    <ds:schemaRef ds:uri="a3d202fa-1933-4420-ab07-2ee53e82da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850754-1882-42E7-8851-11597936CCB3}">
  <ds:schemaRefs>
    <ds:schemaRef ds:uri="http://schemas.microsoft.com/sharepoint/v3/contenttype/forms"/>
  </ds:schemaRefs>
</ds:datastoreItem>
</file>

<file path=customXml/itemProps3.xml><?xml version="1.0" encoding="utf-8"?>
<ds:datastoreItem xmlns:ds="http://schemas.openxmlformats.org/officeDocument/2006/customXml" ds:itemID="{AA06D08B-B347-47DE-A7BF-D603084FE04F}">
  <ds:schemaRefs>
    <ds:schemaRef ds:uri="http://schemas.microsoft.com/office/2006/metadata/properties"/>
    <ds:schemaRef ds:uri="http://schemas.microsoft.com/office/infopath/2007/PartnerControls"/>
    <ds:schemaRef ds:uri="d27efb73-9b69-44df-a541-35622d1b3aec"/>
    <ds:schemaRef ds:uri="a3d202fa-1933-4420-ab07-2ee53e82da18"/>
    <ds:schemaRef ds:uri="c9e60429-3073-47a3-9bf8-27645aff9dc1"/>
    <ds:schemaRef ds:uri="cbd709b9-c7ad-4a31-9585-cddd9747ac58"/>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38</vt:i4>
      </vt:variant>
      <vt:variant>
        <vt:lpstr>Named Ranges</vt:lpstr>
      </vt:variant>
      <vt:variant>
        <vt:i4>22</vt:i4>
      </vt:variant>
    </vt:vector>
  </HeadingPairs>
  <TitlesOfParts>
    <vt:vector size="60" baseType="lpstr">
      <vt:lpstr>NOI QUESTIONS</vt:lpstr>
      <vt:lpstr>STEP 1-Site Planning</vt:lpstr>
      <vt:lpstr>STEP 2-WQv Calculation</vt:lpstr>
      <vt:lpstr>Step 3+5-Summary Table</vt:lpstr>
      <vt:lpstr>STEP 3-GI Evaluation</vt:lpstr>
      <vt:lpstr>STEP 4-Min RRv</vt:lpstr>
      <vt:lpstr>(RR-1) Conservation</vt:lpstr>
      <vt:lpstr>(RR-2) Riparian Buffer</vt:lpstr>
      <vt:lpstr>(RR-2) Grass Filter Strip</vt:lpstr>
      <vt:lpstr>(RR-3) Tree Planting</vt:lpstr>
      <vt:lpstr>(RR-3) Tree Pit</vt:lpstr>
      <vt:lpstr>(RR-3) Tree Trench</vt:lpstr>
      <vt:lpstr>(RR-4) Disconnection</vt:lpstr>
      <vt:lpstr>(RR-5) Vegetated Swale</vt:lpstr>
      <vt:lpstr>(RR-6) Rain Garden</vt:lpstr>
      <vt:lpstr>(RR-7) Stormwater Planter</vt:lpstr>
      <vt:lpstr>(RR-8) Rainwater Harvesting</vt:lpstr>
      <vt:lpstr>(RR-9) Porous Pavement</vt:lpstr>
      <vt:lpstr>(RR-10) Green Roof</vt:lpstr>
      <vt:lpstr>(P-1 thru P-4) Ponds</vt:lpstr>
      <vt:lpstr>(W-1 thru W-4) Wetlands</vt:lpstr>
      <vt:lpstr>(W-5) Gravel Wetland</vt:lpstr>
      <vt:lpstr>(I-1) Infiltration Trench</vt:lpstr>
      <vt:lpstr>(I-2) Infiltration Basin</vt:lpstr>
      <vt:lpstr>(I-3) Dry Well</vt:lpstr>
      <vt:lpstr>(I-4) Underground Infiltration</vt:lpstr>
      <vt:lpstr>(F-1 thru F-3) Filters</vt:lpstr>
      <vt:lpstr>(F-4) Infiltration Bioretention</vt:lpstr>
      <vt:lpstr>LOGIC</vt:lpstr>
      <vt:lpstr>Sheet1</vt:lpstr>
      <vt:lpstr>(F-5) Filtration Bioretention</vt:lpstr>
      <vt:lpstr>(F-6) Bioslope</vt:lpstr>
      <vt:lpstr>(O-1) Dry Swale</vt:lpstr>
      <vt:lpstr>(O-2) Wet Swale</vt:lpstr>
      <vt:lpstr>Flow Based Alt. Practice</vt:lpstr>
      <vt:lpstr>Appendix B - WQf</vt:lpstr>
      <vt:lpstr>Errata</vt:lpstr>
      <vt:lpstr>Reference</vt:lpstr>
      <vt:lpstr>'STEP 3-GI Evaluation'!_Toc60210405</vt:lpstr>
      <vt:lpstr>AreaNumber</vt:lpstr>
      <vt:lpstr>CatchNo</vt:lpstr>
      <vt:lpstr>Considered</vt:lpstr>
      <vt:lpstr>InfiltrationBasin</vt:lpstr>
      <vt:lpstr>Practice</vt:lpstr>
      <vt:lpstr>Practices</vt:lpstr>
      <vt:lpstr>PracticesA</vt:lpstr>
      <vt:lpstr>PracticesB</vt:lpstr>
      <vt:lpstr>'(I-4) Underground Infiltration'!Print_Area</vt:lpstr>
      <vt:lpstr>'(RR-7) Stormwater Planter'!Print_Area</vt:lpstr>
      <vt:lpstr>Reroute</vt:lpstr>
      <vt:lpstr>Reroute2</vt:lpstr>
      <vt:lpstr>Reroute3</vt:lpstr>
      <vt:lpstr>RGPERC</vt:lpstr>
      <vt:lpstr>Soil</vt:lpstr>
      <vt:lpstr>Soils2</vt:lpstr>
      <vt:lpstr>SoilType</vt:lpstr>
      <vt:lpstr>Tree</vt:lpstr>
      <vt:lpstr>Underdrain</vt:lpstr>
      <vt:lpstr>Underdrains</vt:lpstr>
      <vt:lpstr>YesNo</vt:lpstr>
    </vt:vector>
  </TitlesOfParts>
  <Manager/>
  <Company>NYSDEC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calambla</dc:creator>
  <cp:keywords/>
  <dc:description/>
  <cp:lastModifiedBy>Taylor, Kimberly A (DEC)</cp:lastModifiedBy>
  <cp:revision/>
  <dcterms:created xsi:type="dcterms:W3CDTF">2011-01-29T17:18:04Z</dcterms:created>
  <dcterms:modified xsi:type="dcterms:W3CDTF">2026-08-18T20:37:33Z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0x0101008F42AAD2AAA4B840A4F4E7FC718F57B8</vt:lpwstr>
  </property>
  <property fmtid="{D5CDD505-2E9C-101B-9397-08002B2CF9AE}" pid="3" name="MediaServiceImageTags">
    <vt:lpwstr/>
  </property>
</Properties>
</file>